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ycky\Desktop\ČAJKA\UHP\suster\Zverennené\3\"/>
    </mc:Choice>
  </mc:AlternateContent>
  <workbookProtection workbookAlgorithmName="SHA-512" workbookHashValue="2lTYboNC1w6jIC/p6VvGfsZeTju+MbpkJ/q2Si+TYXJRx50GnFVeIIPtvJi7TNKMcVOKisP5RMGDZ+pJIoOWaw==" workbookSaltValue="11EG4BCQewjxj1gaxJtM8g==" workbookSpinCount="100000" lockStructure="1"/>
  <bookViews>
    <workbookView xWindow="0" yWindow="0" windowWidth="38400" windowHeight="17850" tabRatio="931" activeTab="10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6 Finančná analýza" sheetId="6" r:id="rId7"/>
    <sheet name="07 Strata produktivity" sheetId="32" r:id="rId8"/>
    <sheet name="08 Ekonomická analýza" sheetId="34" r:id="rId9"/>
    <sheet name="CPI" sheetId="31" r:id="rId10"/>
    <sheet name="Časy chôdze" sheetId="35" r:id="rId11"/>
  </sheets>
  <definedNames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</definedNames>
  <calcPr calcId="162913"/>
</workbook>
</file>

<file path=xl/calcChain.xml><?xml version="1.0" encoding="utf-8"?>
<calcChain xmlns="http://schemas.openxmlformats.org/spreadsheetml/2006/main">
  <c r="C61" i="30" l="1"/>
  <c r="C62" i="30" l="1"/>
  <c r="C50" i="1"/>
  <c r="C49" i="1"/>
  <c r="C48" i="1"/>
  <c r="C63" i="30" l="1"/>
  <c r="D9" i="30" l="1"/>
  <c r="D13" i="30" s="1"/>
  <c r="C75" i="30" s="1"/>
  <c r="K168" i="30"/>
  <c r="J168" i="30"/>
  <c r="I41" i="30"/>
  <c r="J41" i="30" s="1"/>
  <c r="K41" i="30" s="1"/>
  <c r="L41" i="30" s="1"/>
  <c r="M41" i="30" s="1"/>
  <c r="N41" i="30" s="1"/>
  <c r="O41" i="30" s="1"/>
  <c r="P41" i="30" s="1"/>
  <c r="Q41" i="30" s="1"/>
  <c r="R41" i="30" s="1"/>
  <c r="S41" i="30" s="1"/>
  <c r="T41" i="30" s="1"/>
  <c r="U41" i="30" s="1"/>
  <c r="V41" i="30" s="1"/>
  <c r="W41" i="30" s="1"/>
  <c r="X41" i="30" s="1"/>
  <c r="Y41" i="30" s="1"/>
  <c r="Z41" i="30" s="1"/>
  <c r="AA41" i="30" s="1"/>
  <c r="AB41" i="30" s="1"/>
  <c r="AC41" i="30" s="1"/>
  <c r="AD41" i="30" s="1"/>
  <c r="AE41" i="30" s="1"/>
  <c r="AF41" i="30" s="1"/>
  <c r="I40" i="30"/>
  <c r="J40" i="30" s="1"/>
  <c r="K40" i="30" s="1"/>
  <c r="L40" i="30" s="1"/>
  <c r="M40" i="30" s="1"/>
  <c r="N40" i="30" s="1"/>
  <c r="O40" i="30" s="1"/>
  <c r="P40" i="30" s="1"/>
  <c r="Q40" i="30" s="1"/>
  <c r="R40" i="30" s="1"/>
  <c r="S40" i="30" s="1"/>
  <c r="T40" i="30" s="1"/>
  <c r="U40" i="30" s="1"/>
  <c r="V40" i="30" s="1"/>
  <c r="W40" i="30" s="1"/>
  <c r="X40" i="30" s="1"/>
  <c r="Y40" i="30" s="1"/>
  <c r="Z40" i="30" s="1"/>
  <c r="AA40" i="30" s="1"/>
  <c r="AB40" i="30" s="1"/>
  <c r="AC40" i="30" s="1"/>
  <c r="AD40" i="30" s="1"/>
  <c r="AE40" i="30" s="1"/>
  <c r="AF40" i="30" s="1"/>
  <c r="H31" i="30"/>
  <c r="C33" i="30" s="1"/>
  <c r="G31" i="30"/>
  <c r="F31" i="30"/>
  <c r="E31" i="30"/>
  <c r="D31" i="30"/>
  <c r="C31" i="30"/>
  <c r="C39" i="30" s="1"/>
  <c r="C13" i="30"/>
  <c r="P44" i="30" l="1"/>
  <c r="X44" i="30"/>
  <c r="AF44" i="30"/>
  <c r="V44" i="30"/>
  <c r="W44" i="30"/>
  <c r="I44" i="30"/>
  <c r="Q44" i="30"/>
  <c r="Y44" i="30"/>
  <c r="H44" i="30"/>
  <c r="AB44" i="30"/>
  <c r="AE44" i="30"/>
  <c r="J44" i="30"/>
  <c r="R44" i="30"/>
  <c r="Z44" i="30"/>
  <c r="T44" i="30"/>
  <c r="U44" i="30"/>
  <c r="AC44" i="30"/>
  <c r="AD44" i="30"/>
  <c r="O44" i="30"/>
  <c r="K44" i="30"/>
  <c r="S44" i="30"/>
  <c r="AA44" i="30"/>
  <c r="L44" i="30"/>
  <c r="N44" i="30"/>
  <c r="M44" i="30"/>
  <c r="D39" i="30"/>
  <c r="C43" i="30"/>
  <c r="C73" i="30"/>
  <c r="C76" i="30"/>
  <c r="C79" i="30"/>
  <c r="D21" i="3"/>
  <c r="E39" i="30" l="1"/>
  <c r="D43" i="30"/>
  <c r="C74" i="30"/>
  <c r="F39" i="30" l="1"/>
  <c r="E43" i="30"/>
  <c r="C114" i="30"/>
  <c r="C112" i="30"/>
  <c r="F107" i="30"/>
  <c r="G107" i="30" s="1"/>
  <c r="H107" i="30" s="1"/>
  <c r="C173" i="30"/>
  <c r="C174" i="30" s="1"/>
  <c r="C78" i="30" s="1"/>
  <c r="J204" i="30"/>
  <c r="C113" i="30" s="1"/>
  <c r="F226" i="30"/>
  <c r="C124" i="30" s="1"/>
  <c r="E226" i="30"/>
  <c r="C122" i="30" s="1"/>
  <c r="D226" i="30"/>
  <c r="C123" i="30" s="1"/>
  <c r="C86" i="30" s="1"/>
  <c r="C226" i="30"/>
  <c r="C121" i="30" s="1"/>
  <c r="F106" i="30"/>
  <c r="G106" i="30" s="1"/>
  <c r="H106" i="30" s="1"/>
  <c r="I106" i="30" s="1"/>
  <c r="J106" i="30" s="1"/>
  <c r="K106" i="30" s="1"/>
  <c r="G39" i="30" l="1"/>
  <c r="F43" i="30"/>
  <c r="L106" i="30"/>
  <c r="H39" i="30" l="1"/>
  <c r="G43" i="30"/>
  <c r="M106" i="30"/>
  <c r="I39" i="30" l="1"/>
  <c r="I43" i="30" s="1"/>
  <c r="H43" i="30"/>
  <c r="N106" i="30"/>
  <c r="G64" i="2"/>
  <c r="O106" i="30" l="1"/>
  <c r="P106" i="30" l="1"/>
  <c r="D11" i="3"/>
  <c r="E11" i="3"/>
  <c r="F11" i="3"/>
  <c r="G11" i="3"/>
  <c r="H11" i="3"/>
  <c r="F32" i="3"/>
  <c r="F33" i="3" s="1"/>
  <c r="F22" i="3"/>
  <c r="I107" i="30"/>
  <c r="J107" i="30" s="1"/>
  <c r="K107" i="30" s="1"/>
  <c r="L107" i="30" s="1"/>
  <c r="M107" i="30" s="1"/>
  <c r="N107" i="30" s="1"/>
  <c r="O107" i="30" s="1"/>
  <c r="P107" i="30" s="1"/>
  <c r="Q107" i="30" s="1"/>
  <c r="R107" i="30" s="1"/>
  <c r="S107" i="30" s="1"/>
  <c r="T107" i="30" s="1"/>
  <c r="U107" i="30" s="1"/>
  <c r="V107" i="30" s="1"/>
  <c r="W107" i="30" s="1"/>
  <c r="X107" i="30" s="1"/>
  <c r="Y107" i="30" s="1"/>
  <c r="Z107" i="30" s="1"/>
  <c r="AA107" i="30" s="1"/>
  <c r="AB107" i="30" s="1"/>
  <c r="AC107" i="30" s="1"/>
  <c r="AD107" i="30" s="1"/>
  <c r="AE107" i="30" s="1"/>
  <c r="AF107" i="30" s="1"/>
  <c r="H38" i="30"/>
  <c r="D38" i="30"/>
  <c r="D42" i="30" s="1"/>
  <c r="E38" i="30"/>
  <c r="E42" i="30" s="1"/>
  <c r="F38" i="30"/>
  <c r="F42" i="30" s="1"/>
  <c r="G38" i="30"/>
  <c r="K38" i="30"/>
  <c r="L38" i="30"/>
  <c r="M38" i="30"/>
  <c r="N38" i="30"/>
  <c r="O38" i="30"/>
  <c r="Q38" i="30"/>
  <c r="U38" i="30"/>
  <c r="V38" i="30"/>
  <c r="W38" i="30"/>
  <c r="Y38" i="30"/>
  <c r="Z38" i="30"/>
  <c r="AC38" i="30"/>
  <c r="AD38" i="30"/>
  <c r="AE38" i="30"/>
  <c r="C38" i="30"/>
  <c r="C42" i="30" s="1"/>
  <c r="C106" i="30" l="1"/>
  <c r="D106" i="30"/>
  <c r="E106" i="30"/>
  <c r="E107" i="30" s="1"/>
  <c r="Q106" i="30"/>
  <c r="T38" i="30"/>
  <c r="AB38" i="30"/>
  <c r="S38" i="30"/>
  <c r="J38" i="30"/>
  <c r="AA38" i="30"/>
  <c r="R38" i="30"/>
  <c r="I38" i="30"/>
  <c r="AF38" i="30"/>
  <c r="X38" i="30"/>
  <c r="P38" i="30"/>
  <c r="G42" i="30"/>
  <c r="H42" i="30" l="1"/>
  <c r="D107" i="30"/>
  <c r="C107" i="30" s="1"/>
  <c r="R106" i="30"/>
  <c r="D17" i="35"/>
  <c r="I42" i="30"/>
  <c r="J39" i="30"/>
  <c r="J43" i="30" s="1"/>
  <c r="C17" i="35"/>
  <c r="C21" i="35"/>
  <c r="S106" i="30" l="1"/>
  <c r="J42" i="30"/>
  <c r="K39" i="30"/>
  <c r="K43" i="30" s="1"/>
  <c r="T106" i="30" l="1"/>
  <c r="L39" i="30"/>
  <c r="L43" i="30" s="1"/>
  <c r="K42" i="30"/>
  <c r="E186" i="30"/>
  <c r="C85" i="30" s="1"/>
  <c r="E185" i="30"/>
  <c r="C77" i="30" s="1"/>
  <c r="U106" i="30" l="1"/>
  <c r="M39" i="30"/>
  <c r="M43" i="30" s="1"/>
  <c r="L42" i="30"/>
  <c r="C84" i="30"/>
  <c r="V106" i="30" l="1"/>
  <c r="M42" i="30"/>
  <c r="N39" i="30"/>
  <c r="N43" i="30" s="1"/>
  <c r="E17" i="35"/>
  <c r="B26" i="34"/>
  <c r="C115" i="30"/>
  <c r="C125" i="30"/>
  <c r="G18" i="3" l="1"/>
  <c r="O18" i="3"/>
  <c r="W18" i="3"/>
  <c r="AE18" i="3"/>
  <c r="P18" i="3"/>
  <c r="AF18" i="3"/>
  <c r="I18" i="3"/>
  <c r="Y18" i="3"/>
  <c r="J18" i="3"/>
  <c r="Z18" i="3"/>
  <c r="S18" i="3"/>
  <c r="E18" i="3"/>
  <c r="U18" i="3"/>
  <c r="F18" i="3"/>
  <c r="AD18" i="3"/>
  <c r="H18" i="3"/>
  <c r="X18" i="3"/>
  <c r="Q18" i="3"/>
  <c r="AG18" i="3"/>
  <c r="R18" i="3"/>
  <c r="D18" i="3"/>
  <c r="K18" i="3"/>
  <c r="AA18" i="3"/>
  <c r="L18" i="3"/>
  <c r="T18" i="3"/>
  <c r="AB18" i="3"/>
  <c r="M18" i="3"/>
  <c r="AC18" i="3"/>
  <c r="N18" i="3"/>
  <c r="V18" i="3"/>
  <c r="J9" i="32"/>
  <c r="E9" i="32"/>
  <c r="K9" i="32"/>
  <c r="F9" i="32"/>
  <c r="L9" i="32"/>
  <c r="G9" i="32"/>
  <c r="I9" i="32"/>
  <c r="O9" i="32"/>
  <c r="D9" i="32"/>
  <c r="D10" i="32" s="1"/>
  <c r="M9" i="32"/>
  <c r="H9" i="32"/>
  <c r="N9" i="32"/>
  <c r="W106" i="30"/>
  <c r="O39" i="30"/>
  <c r="N42" i="30"/>
  <c r="O43" i="30" l="1"/>
  <c r="P9" i="32" s="1"/>
  <c r="E108" i="30"/>
  <c r="C108" i="30"/>
  <c r="D108" i="30"/>
  <c r="X106" i="30"/>
  <c r="P39" i="30"/>
  <c r="O42" i="30"/>
  <c r="D13" i="35"/>
  <c r="D12" i="35"/>
  <c r="D6" i="35"/>
  <c r="D5" i="35"/>
  <c r="P43" i="30" l="1"/>
  <c r="Q9" i="32" s="1"/>
  <c r="F108" i="30"/>
  <c r="G108" i="30" s="1"/>
  <c r="H108" i="30" s="1"/>
  <c r="I108" i="30" s="1"/>
  <c r="J108" i="30" s="1"/>
  <c r="K108" i="30" s="1"/>
  <c r="L108" i="30" s="1"/>
  <c r="M108" i="30" s="1"/>
  <c r="N108" i="30" s="1"/>
  <c r="O108" i="30" s="1"/>
  <c r="P108" i="30" s="1"/>
  <c r="Q108" i="30" s="1"/>
  <c r="R108" i="30" s="1"/>
  <c r="S108" i="30" s="1"/>
  <c r="T108" i="30" s="1"/>
  <c r="U108" i="30" s="1"/>
  <c r="V108" i="30" s="1"/>
  <c r="W108" i="30" s="1"/>
  <c r="X108" i="30" s="1"/>
  <c r="Y108" i="30" s="1"/>
  <c r="Z108" i="30" s="1"/>
  <c r="AA108" i="30" s="1"/>
  <c r="AB108" i="30" s="1"/>
  <c r="AC108" i="30" s="1"/>
  <c r="AD108" i="30" s="1"/>
  <c r="AE108" i="30" s="1"/>
  <c r="AF108" i="30" s="1"/>
  <c r="Y106" i="30"/>
  <c r="P42" i="30"/>
  <c r="Q39" i="30"/>
  <c r="B25" i="34"/>
  <c r="Q43" i="30" l="1"/>
  <c r="R9" i="32" s="1"/>
  <c r="Z106" i="30"/>
  <c r="R39" i="30"/>
  <c r="Q42" i="30"/>
  <c r="R43" i="30" l="1"/>
  <c r="S9" i="32" s="1"/>
  <c r="AA106" i="30"/>
  <c r="R42" i="30"/>
  <c r="S39" i="30"/>
  <c r="C95" i="30"/>
  <c r="S43" i="30" l="1"/>
  <c r="T9" i="32" s="1"/>
  <c r="AB106" i="30"/>
  <c r="T39" i="30"/>
  <c r="S42" i="30"/>
  <c r="L10" i="32"/>
  <c r="L11" i="32" s="1"/>
  <c r="M10" i="32"/>
  <c r="M11" i="32" s="1"/>
  <c r="N10" i="32"/>
  <c r="N11" i="32" s="1"/>
  <c r="I10" i="32"/>
  <c r="I11" i="32" s="1"/>
  <c r="Q10" i="32"/>
  <c r="Q11" i="32" s="1"/>
  <c r="J10" i="32"/>
  <c r="J11" i="32" s="1"/>
  <c r="R10" i="32"/>
  <c r="R11" i="32" s="1"/>
  <c r="K10" i="32"/>
  <c r="K11" i="32" s="1"/>
  <c r="S10" i="32"/>
  <c r="S11" i="32" s="1"/>
  <c r="G10" i="32"/>
  <c r="G11" i="32" s="1"/>
  <c r="O10" i="32"/>
  <c r="O11" i="32" s="1"/>
  <c r="H10" i="32"/>
  <c r="H11" i="32" s="1"/>
  <c r="P10" i="32"/>
  <c r="P11" i="32" s="1"/>
  <c r="C87" i="30"/>
  <c r="C21" i="2"/>
  <c r="C22" i="2"/>
  <c r="C23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4" i="2"/>
  <c r="T43" i="30" l="1"/>
  <c r="U9" i="32" s="1"/>
  <c r="AC106" i="30"/>
  <c r="T10" i="32"/>
  <c r="T11" i="32" s="1"/>
  <c r="C80" i="30"/>
  <c r="T42" i="30"/>
  <c r="U39" i="30"/>
  <c r="F10" i="32"/>
  <c r="F11" i="32" s="1"/>
  <c r="C8" i="32"/>
  <c r="E10" i="32"/>
  <c r="E11" i="32" s="1"/>
  <c r="F58" i="2"/>
  <c r="D58" i="2"/>
  <c r="U43" i="30" l="1"/>
  <c r="V9" i="32" s="1"/>
  <c r="AD106" i="30"/>
  <c r="U10" i="32"/>
  <c r="U11" i="32" s="1"/>
  <c r="U42" i="30"/>
  <c r="V39" i="30"/>
  <c r="D11" i="32"/>
  <c r="G8" i="2"/>
  <c r="H8" i="2"/>
  <c r="I8" i="2"/>
  <c r="F8" i="2"/>
  <c r="V43" i="30" l="1"/>
  <c r="W9" i="32" s="1"/>
  <c r="AE106" i="30"/>
  <c r="G32" i="3"/>
  <c r="G33" i="3" s="1"/>
  <c r="G22" i="3"/>
  <c r="H22" i="3"/>
  <c r="H32" i="3"/>
  <c r="H33" i="3" s="1"/>
  <c r="W39" i="30"/>
  <c r="V42" i="30"/>
  <c r="AH26" i="1"/>
  <c r="AI26" i="1"/>
  <c r="AJ26" i="1"/>
  <c r="AK26" i="1"/>
  <c r="AL26" i="1"/>
  <c r="AM26" i="1"/>
  <c r="AN26" i="1"/>
  <c r="AO26" i="1"/>
  <c r="AP26" i="1"/>
  <c r="AG26" i="1"/>
  <c r="X26" i="1"/>
  <c r="Y26" i="1"/>
  <c r="Z26" i="1"/>
  <c r="AA26" i="1"/>
  <c r="AB26" i="1"/>
  <c r="AC26" i="1"/>
  <c r="AD26" i="1"/>
  <c r="AE26" i="1"/>
  <c r="AF26" i="1"/>
  <c r="W26" i="1"/>
  <c r="N26" i="1"/>
  <c r="O26" i="1"/>
  <c r="P26" i="1"/>
  <c r="Q26" i="1"/>
  <c r="R26" i="1"/>
  <c r="S26" i="1"/>
  <c r="T26" i="1"/>
  <c r="U26" i="1"/>
  <c r="V26" i="1"/>
  <c r="M26" i="1"/>
  <c r="H26" i="1"/>
  <c r="I26" i="1"/>
  <c r="J26" i="1"/>
  <c r="K26" i="1"/>
  <c r="L26" i="1"/>
  <c r="G26" i="1"/>
  <c r="F26" i="1"/>
  <c r="E26" i="1"/>
  <c r="D26" i="1"/>
  <c r="D9" i="6"/>
  <c r="E9" i="6"/>
  <c r="C17" i="2"/>
  <c r="W43" i="30" l="1"/>
  <c r="X9" i="32" s="1"/>
  <c r="AF106" i="30"/>
  <c r="V10" i="32"/>
  <c r="W10" i="32"/>
  <c r="W11" i="32" s="1"/>
  <c r="X39" i="30"/>
  <c r="W42" i="30"/>
  <c r="Y9" i="32" l="1"/>
  <c r="X43" i="30"/>
  <c r="X10" i="32"/>
  <c r="X11" i="32" s="1"/>
  <c r="V11" i="32"/>
  <c r="X42" i="30"/>
  <c r="Y39" i="30"/>
  <c r="Z9" i="32" l="1"/>
  <c r="Y43" i="30"/>
  <c r="Z39" i="30"/>
  <c r="Y42" i="30"/>
  <c r="Z43" i="30" l="1"/>
  <c r="AA9" i="32" s="1"/>
  <c r="Z10" i="32"/>
  <c r="Z11" i="32" s="1"/>
  <c r="Y10" i="32"/>
  <c r="Z42" i="30"/>
  <c r="AA39" i="30"/>
  <c r="D80" i="2"/>
  <c r="E80" i="2"/>
  <c r="F80" i="2"/>
  <c r="F79" i="2"/>
  <c r="G57" i="2"/>
  <c r="H57" i="2"/>
  <c r="I57" i="2"/>
  <c r="J57" i="2"/>
  <c r="K57" i="2"/>
  <c r="G58" i="2"/>
  <c r="H58" i="2"/>
  <c r="I58" i="2"/>
  <c r="J58" i="2"/>
  <c r="K58" i="2"/>
  <c r="G59" i="2"/>
  <c r="H59" i="2"/>
  <c r="I59" i="2"/>
  <c r="J59" i="2"/>
  <c r="K59" i="2"/>
  <c r="G61" i="2"/>
  <c r="H61" i="2"/>
  <c r="I61" i="2"/>
  <c r="J61" i="2"/>
  <c r="K61" i="2"/>
  <c r="G62" i="2"/>
  <c r="H62" i="2"/>
  <c r="I62" i="2"/>
  <c r="J62" i="2"/>
  <c r="K62" i="2"/>
  <c r="G63" i="2"/>
  <c r="H63" i="2"/>
  <c r="I63" i="2"/>
  <c r="J63" i="2"/>
  <c r="K63" i="2"/>
  <c r="H64" i="2"/>
  <c r="I64" i="2"/>
  <c r="J64" i="2"/>
  <c r="K64" i="2"/>
  <c r="G65" i="2"/>
  <c r="H65" i="2"/>
  <c r="I65" i="2"/>
  <c r="J65" i="2"/>
  <c r="K65" i="2"/>
  <c r="G66" i="2"/>
  <c r="H66" i="2"/>
  <c r="I66" i="2"/>
  <c r="J66" i="2"/>
  <c r="K66" i="2"/>
  <c r="G67" i="2"/>
  <c r="H67" i="2"/>
  <c r="I67" i="2"/>
  <c r="J67" i="2"/>
  <c r="K67" i="2"/>
  <c r="G68" i="2"/>
  <c r="H68" i="2"/>
  <c r="I68" i="2"/>
  <c r="J68" i="2"/>
  <c r="K68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3" i="2"/>
  <c r="H73" i="2"/>
  <c r="I73" i="2"/>
  <c r="J73" i="2"/>
  <c r="K73" i="2"/>
  <c r="G74" i="2"/>
  <c r="H74" i="2"/>
  <c r="I74" i="2"/>
  <c r="J74" i="2"/>
  <c r="K74" i="2"/>
  <c r="G75" i="2"/>
  <c r="H75" i="2"/>
  <c r="I75" i="2"/>
  <c r="J75" i="2"/>
  <c r="K75" i="2"/>
  <c r="G76" i="2"/>
  <c r="H76" i="2"/>
  <c r="I76" i="2"/>
  <c r="J76" i="2"/>
  <c r="K76" i="2"/>
  <c r="G77" i="2"/>
  <c r="H77" i="2"/>
  <c r="I77" i="2"/>
  <c r="J77" i="2"/>
  <c r="K77" i="2"/>
  <c r="G78" i="2"/>
  <c r="H78" i="2"/>
  <c r="I78" i="2"/>
  <c r="J78" i="2"/>
  <c r="K78" i="2"/>
  <c r="G79" i="2"/>
  <c r="H79" i="2"/>
  <c r="I79" i="2"/>
  <c r="J79" i="2"/>
  <c r="K79" i="2"/>
  <c r="E58" i="2"/>
  <c r="AA43" i="30" l="1"/>
  <c r="AB9" i="32" s="1"/>
  <c r="Y11" i="32"/>
  <c r="AA42" i="30"/>
  <c r="AB39" i="30"/>
  <c r="C80" i="2"/>
  <c r="G60" i="2"/>
  <c r="G81" i="2" s="1"/>
  <c r="F9" i="34" s="1"/>
  <c r="H60" i="2"/>
  <c r="H81" i="2" s="1"/>
  <c r="G9" i="34" s="1"/>
  <c r="K60" i="2"/>
  <c r="K81" i="2" s="1"/>
  <c r="J60" i="2"/>
  <c r="J81" i="2" s="1"/>
  <c r="I60" i="2"/>
  <c r="I81" i="2" s="1"/>
  <c r="AB43" i="30" l="1"/>
  <c r="AC9" i="32" s="1"/>
  <c r="AB10" i="32"/>
  <c r="AB11" i="32" s="1"/>
  <c r="AA10" i="32"/>
  <c r="AB42" i="30"/>
  <c r="AC39" i="30"/>
  <c r="K56" i="2"/>
  <c r="E20" i="2"/>
  <c r="F20" i="2"/>
  <c r="G20" i="2"/>
  <c r="H20" i="2"/>
  <c r="H49" i="2" s="1"/>
  <c r="I20" i="2"/>
  <c r="J20" i="2"/>
  <c r="J49" i="2" s="1"/>
  <c r="K20" i="2"/>
  <c r="E16" i="2"/>
  <c r="AC43" i="30" l="1"/>
  <c r="AD9" i="32" s="1"/>
  <c r="AA11" i="32"/>
  <c r="AD39" i="30"/>
  <c r="AC42" i="30"/>
  <c r="K41" i="2"/>
  <c r="K48" i="2"/>
  <c r="K49" i="2"/>
  <c r="I48" i="2"/>
  <c r="I41" i="2"/>
  <c r="I49" i="2"/>
  <c r="G41" i="2"/>
  <c r="G49" i="2"/>
  <c r="J45" i="2"/>
  <c r="J41" i="2"/>
  <c r="H41" i="2"/>
  <c r="H45" i="2"/>
  <c r="E48" i="2"/>
  <c r="E41" i="2"/>
  <c r="K45" i="2"/>
  <c r="F41" i="2"/>
  <c r="H16" i="2"/>
  <c r="H56" i="2" s="1"/>
  <c r="F16" i="2"/>
  <c r="F56" i="2" s="1"/>
  <c r="I16" i="2"/>
  <c r="I56" i="2" s="1"/>
  <c r="E56" i="2"/>
  <c r="G16" i="2"/>
  <c r="G56" i="2" s="1"/>
  <c r="AD43" i="30" l="1"/>
  <c r="AE9" i="32" s="1"/>
  <c r="K50" i="2"/>
  <c r="AC10" i="32"/>
  <c r="AD10" i="32"/>
  <c r="AD11" i="32" s="1"/>
  <c r="AE39" i="30"/>
  <c r="AD42" i="30"/>
  <c r="I44" i="2"/>
  <c r="H44" i="2"/>
  <c r="H46" i="2" s="1"/>
  <c r="I50" i="2"/>
  <c r="J44" i="2"/>
  <c r="J46" i="2" s="1"/>
  <c r="H48" i="2"/>
  <c r="H50" i="2" s="1"/>
  <c r="J48" i="2"/>
  <c r="J50" i="2" s="1"/>
  <c r="G44" i="2"/>
  <c r="K44" i="2"/>
  <c r="K46" i="2" s="1"/>
  <c r="G45" i="2"/>
  <c r="G48" i="2"/>
  <c r="G50" i="2" s="1"/>
  <c r="I45" i="2"/>
  <c r="E7" i="6"/>
  <c r="O21" i="1"/>
  <c r="AE43" i="30" l="1"/>
  <c r="AF9" i="32" s="1"/>
  <c r="I46" i="2"/>
  <c r="AE10" i="32"/>
  <c r="AE11" i="32" s="1"/>
  <c r="AC11" i="32"/>
  <c r="AE42" i="30"/>
  <c r="AF39" i="30"/>
  <c r="AF43" i="30" l="1"/>
  <c r="AG9" i="32" s="1"/>
  <c r="AF10" i="32"/>
  <c r="AF42" i="30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D48" i="1"/>
  <c r="E48" i="1" l="1"/>
  <c r="D15" i="32"/>
  <c r="D16" i="32" s="1"/>
  <c r="D12" i="34" s="1"/>
  <c r="D13" i="34" s="1"/>
  <c r="AF11" i="32"/>
  <c r="AE49" i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F48" i="1" l="1"/>
  <c r="E15" i="32"/>
  <c r="E16" i="32" s="1"/>
  <c r="E12" i="34" s="1"/>
  <c r="E13" i="34" s="1"/>
  <c r="AG10" i="32"/>
  <c r="C9" i="32"/>
  <c r="C11" i="2"/>
  <c r="C10" i="2"/>
  <c r="G48" i="1" l="1"/>
  <c r="F15" i="32"/>
  <c r="F16" i="32" s="1"/>
  <c r="F12" i="34" s="1"/>
  <c r="F13" i="34" s="1"/>
  <c r="AG11" i="32"/>
  <c r="C10" i="32"/>
  <c r="F29" i="3"/>
  <c r="E29" i="3"/>
  <c r="D29" i="3"/>
  <c r="H48" i="1" l="1"/>
  <c r="G15" i="32"/>
  <c r="G16" i="32" s="1"/>
  <c r="G12" i="34" s="1"/>
  <c r="G13" i="34" s="1"/>
  <c r="C11" i="32"/>
  <c r="E49" i="2"/>
  <c r="E45" i="2"/>
  <c r="F49" i="2"/>
  <c r="F45" i="2"/>
  <c r="I48" i="1" l="1"/>
  <c r="H15" i="32"/>
  <c r="H16" i="32" s="1"/>
  <c r="H12" i="34" s="1"/>
  <c r="H13" i="34" s="1"/>
  <c r="F44" i="2"/>
  <c r="F46" i="2" s="1"/>
  <c r="F48" i="2"/>
  <c r="E44" i="2"/>
  <c r="E46" i="2" s="1"/>
  <c r="J48" i="1" l="1"/>
  <c r="I15" i="32"/>
  <c r="E50" i="2"/>
  <c r="F50" i="2"/>
  <c r="Z30" i="3"/>
  <c r="I16" i="32" l="1"/>
  <c r="K48" i="1"/>
  <c r="J15" i="32"/>
  <c r="J16" i="32" s="1"/>
  <c r="J12" i="34" s="1"/>
  <c r="J13" i="34" s="1"/>
  <c r="C21" i="1"/>
  <c r="D21" i="1"/>
  <c r="E21" i="1"/>
  <c r="F21" i="1"/>
  <c r="G21" i="1"/>
  <c r="H21" i="1"/>
  <c r="I21" i="1"/>
  <c r="J21" i="1"/>
  <c r="K21" i="1"/>
  <c r="L21" i="1"/>
  <c r="M21" i="1"/>
  <c r="N21" i="1"/>
  <c r="L48" i="1" l="1"/>
  <c r="K15" i="32"/>
  <c r="K16" i="32" s="1"/>
  <c r="K12" i="34" s="1"/>
  <c r="K13" i="34" s="1"/>
  <c r="I12" i="34"/>
  <c r="I13" i="34" l="1"/>
  <c r="M48" i="1"/>
  <c r="L15" i="32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L16" i="32" l="1"/>
  <c r="N48" i="1"/>
  <c r="M15" i="32"/>
  <c r="M16" i="32" s="1"/>
  <c r="M12" i="34" s="1"/>
  <c r="M13" i="34" s="1"/>
  <c r="C18" i="2"/>
  <c r="C19" i="2"/>
  <c r="L19" i="9"/>
  <c r="O48" i="1" l="1"/>
  <c r="N15" i="32"/>
  <c r="N16" i="32" s="1"/>
  <c r="N12" i="34" s="1"/>
  <c r="N13" i="34" s="1"/>
  <c r="L12" i="34"/>
  <c r="L18" i="9"/>
  <c r="Y19" i="3" s="1"/>
  <c r="Y30" i="3" s="1"/>
  <c r="C9" i="2"/>
  <c r="L13" i="34" l="1"/>
  <c r="P48" i="1"/>
  <c r="O15" i="32"/>
  <c r="O16" i="32" s="1"/>
  <c r="G29" i="3"/>
  <c r="O12" i="34" l="1"/>
  <c r="Q48" i="1"/>
  <c r="P15" i="32"/>
  <c r="P16" i="32" s="1"/>
  <c r="P12" i="34" s="1"/>
  <c r="P13" i="34" s="1"/>
  <c r="D57" i="2"/>
  <c r="O13" i="34" l="1"/>
  <c r="R48" i="1"/>
  <c r="Q15" i="32"/>
  <c r="Q16" i="32" s="1"/>
  <c r="Q12" i="34" s="1"/>
  <c r="Q13" i="34" s="1"/>
  <c r="C11" i="1"/>
  <c r="E14" i="1"/>
  <c r="S48" i="1" l="1"/>
  <c r="R15" i="32"/>
  <c r="R16" i="32" s="1"/>
  <c r="R12" i="34" s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D12" i="9"/>
  <c r="D13" i="9"/>
  <c r="D14" i="9"/>
  <c r="D15" i="9"/>
  <c r="G15" i="9" s="1"/>
  <c r="H15" i="9" s="1"/>
  <c r="D16" i="9"/>
  <c r="D17" i="9"/>
  <c r="D18" i="9"/>
  <c r="D19" i="9"/>
  <c r="G19" i="9" s="1"/>
  <c r="H19" i="9" s="1"/>
  <c r="D20" i="9"/>
  <c r="D21" i="9"/>
  <c r="D22" i="9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E61" i="2"/>
  <c r="F61" i="2"/>
  <c r="R13" i="34" l="1"/>
  <c r="T48" i="1"/>
  <c r="S15" i="32"/>
  <c r="S16" i="32" s="1"/>
  <c r="S12" i="34" s="1"/>
  <c r="S13" i="34" s="1"/>
  <c r="G17" i="9"/>
  <c r="H17" i="9" s="1"/>
  <c r="G16" i="9"/>
  <c r="H16" i="9" s="1"/>
  <c r="I16" i="9" s="1"/>
  <c r="G14" i="9"/>
  <c r="H14" i="9" s="1"/>
  <c r="I14" i="9" s="1"/>
  <c r="G21" i="9"/>
  <c r="H21" i="9" s="1"/>
  <c r="G13" i="9"/>
  <c r="H13" i="9" s="1"/>
  <c r="I13" i="9" s="1"/>
  <c r="G22" i="9"/>
  <c r="H22" i="9" s="1"/>
  <c r="G20" i="9"/>
  <c r="H20" i="9" s="1"/>
  <c r="I20" i="9" s="1"/>
  <c r="G12" i="9"/>
  <c r="H12" i="9" s="1"/>
  <c r="I12" i="9" s="1"/>
  <c r="G18" i="9"/>
  <c r="H18" i="9" s="1"/>
  <c r="I19" i="9"/>
  <c r="AA30" i="3"/>
  <c r="I15" i="9"/>
  <c r="C67" i="2"/>
  <c r="C66" i="2"/>
  <c r="C74" i="2"/>
  <c r="C73" i="2"/>
  <c r="C70" i="2"/>
  <c r="C69" i="2"/>
  <c r="C75" i="2"/>
  <c r="C71" i="2"/>
  <c r="C72" i="2"/>
  <c r="C68" i="2"/>
  <c r="U48" i="1" l="1"/>
  <c r="T15" i="32"/>
  <c r="T16" i="32" s="1"/>
  <c r="T12" i="34" s="1"/>
  <c r="T13" i="34" s="1"/>
  <c r="I17" i="9"/>
  <c r="I18" i="9"/>
  <c r="D6" i="6"/>
  <c r="D6" i="4"/>
  <c r="D22" i="4" s="1"/>
  <c r="D6" i="3"/>
  <c r="C16" i="1"/>
  <c r="V48" i="1" l="1"/>
  <c r="U15" i="32"/>
  <c r="U16" i="32" s="1"/>
  <c r="U12" i="34" s="1"/>
  <c r="U13" i="34" s="1"/>
  <c r="D8" i="34"/>
  <c r="D28" i="3"/>
  <c r="D39" i="3"/>
  <c r="E17" i="3"/>
  <c r="W48" i="1" l="1"/>
  <c r="V15" i="32"/>
  <c r="V16" i="32" s="1"/>
  <c r="V12" i="34" s="1"/>
  <c r="V13" i="34" s="1"/>
  <c r="H7" i="6"/>
  <c r="X48" i="1" l="1"/>
  <c r="W15" i="32"/>
  <c r="W16" i="32" s="1"/>
  <c r="W12" i="34" s="1"/>
  <c r="W13" i="34" s="1"/>
  <c r="D8" i="9"/>
  <c r="D9" i="9"/>
  <c r="D10" i="9"/>
  <c r="D11" i="9"/>
  <c r="D7" i="9"/>
  <c r="Y48" i="1" l="1"/>
  <c r="X15" i="32"/>
  <c r="X16" i="32" s="1"/>
  <c r="X12" i="34" s="1"/>
  <c r="X13" i="34" s="1"/>
  <c r="E79" i="2"/>
  <c r="D79" i="2"/>
  <c r="E78" i="2"/>
  <c r="F78" i="2"/>
  <c r="D78" i="2"/>
  <c r="D61" i="2"/>
  <c r="E59" i="2"/>
  <c r="F59" i="2"/>
  <c r="D59" i="2"/>
  <c r="E57" i="2"/>
  <c r="F57" i="2"/>
  <c r="Z48" i="1" l="1"/>
  <c r="Y15" i="32"/>
  <c r="Y16" i="32" s="1"/>
  <c r="Y12" i="34" s="1"/>
  <c r="Y13" i="34" s="1"/>
  <c r="C63" i="2"/>
  <c r="AA48" i="1" l="1"/>
  <c r="Z15" i="32"/>
  <c r="Z16" i="32" s="1"/>
  <c r="Z12" i="34" s="1"/>
  <c r="Z13" i="34" s="1"/>
  <c r="F42" i="1"/>
  <c r="F43" i="1"/>
  <c r="F44" i="1"/>
  <c r="F41" i="1"/>
  <c r="AB48" i="1" l="1"/>
  <c r="AA15" i="32"/>
  <c r="AA16" i="32" s="1"/>
  <c r="AA12" i="34" s="1"/>
  <c r="AA13" i="34" s="1"/>
  <c r="AE17" i="4"/>
  <c r="D17" i="3"/>
  <c r="E6" i="4"/>
  <c r="F17" i="3"/>
  <c r="F8" i="9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D23" i="4"/>
  <c r="AC23" i="4"/>
  <c r="AC25" i="4" s="1"/>
  <c r="AC9" i="6" s="1"/>
  <c r="AB23" i="4"/>
  <c r="AB25" i="4" s="1"/>
  <c r="AB9" i="6" s="1"/>
  <c r="AA23" i="4"/>
  <c r="AA25" i="4" s="1"/>
  <c r="AA9" i="6" s="1"/>
  <c r="Z23" i="4"/>
  <c r="Y23" i="4"/>
  <c r="X23" i="4"/>
  <c r="W23" i="4"/>
  <c r="V23" i="4"/>
  <c r="U23" i="4"/>
  <c r="U25" i="4" s="1"/>
  <c r="U9" i="6" s="1"/>
  <c r="T23" i="4"/>
  <c r="T25" i="4" s="1"/>
  <c r="T9" i="6" s="1"/>
  <c r="S23" i="4"/>
  <c r="S25" i="4" s="1"/>
  <c r="S9" i="6" s="1"/>
  <c r="R23" i="4"/>
  <c r="Q23" i="4"/>
  <c r="P23" i="4"/>
  <c r="O23" i="4"/>
  <c r="N23" i="4"/>
  <c r="M23" i="4"/>
  <c r="M25" i="4" s="1"/>
  <c r="M9" i="6" s="1"/>
  <c r="L23" i="4"/>
  <c r="L25" i="4" s="1"/>
  <c r="L9" i="6" s="1"/>
  <c r="K23" i="4"/>
  <c r="K25" i="4" s="1"/>
  <c r="K9" i="6" s="1"/>
  <c r="J23" i="4"/>
  <c r="I23" i="4"/>
  <c r="H23" i="4"/>
  <c r="G23" i="4"/>
  <c r="F23" i="4"/>
  <c r="E23" i="4"/>
  <c r="E25" i="4" s="1"/>
  <c r="D23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16" i="4"/>
  <c r="C8" i="4"/>
  <c r="F60" i="2"/>
  <c r="F81" i="2" s="1"/>
  <c r="E9" i="34" s="1"/>
  <c r="E60" i="2"/>
  <c r="E81" i="2" s="1"/>
  <c r="D9" i="34" s="1"/>
  <c r="D60" i="2"/>
  <c r="D81" i="2" s="1"/>
  <c r="C79" i="2"/>
  <c r="C78" i="2"/>
  <c r="C77" i="2"/>
  <c r="C76" i="2"/>
  <c r="C65" i="2"/>
  <c r="C64" i="2"/>
  <c r="C62" i="2"/>
  <c r="C61" i="2"/>
  <c r="C59" i="2"/>
  <c r="C58" i="2"/>
  <c r="C57" i="2"/>
  <c r="D20" i="2"/>
  <c r="I22" i="9"/>
  <c r="I21" i="9"/>
  <c r="AG32" i="3"/>
  <c r="AF32" i="3"/>
  <c r="AF43" i="3" s="1"/>
  <c r="AE32" i="3"/>
  <c r="AE43" i="3" s="1"/>
  <c r="AD32" i="3"/>
  <c r="AD43" i="3" s="1"/>
  <c r="AD44" i="3" s="1"/>
  <c r="AC32" i="3"/>
  <c r="AB32" i="3"/>
  <c r="AB43" i="3" s="1"/>
  <c r="AA32" i="3"/>
  <c r="AA43" i="3" s="1"/>
  <c r="Z32" i="3"/>
  <c r="Z43" i="3" s="1"/>
  <c r="Z44" i="3" s="1"/>
  <c r="Y32" i="3"/>
  <c r="Y43" i="3" s="1"/>
  <c r="X32" i="3"/>
  <c r="X43" i="3" s="1"/>
  <c r="W32" i="3"/>
  <c r="W43" i="3" s="1"/>
  <c r="V32" i="3"/>
  <c r="V43" i="3" s="1"/>
  <c r="V44" i="3" s="1"/>
  <c r="U32" i="3"/>
  <c r="U43" i="3" s="1"/>
  <c r="T32" i="3"/>
  <c r="T43" i="3" s="1"/>
  <c r="S32" i="3"/>
  <c r="S43" i="3" s="1"/>
  <c r="R32" i="3"/>
  <c r="R43" i="3" s="1"/>
  <c r="R44" i="3" s="1"/>
  <c r="Q32" i="3"/>
  <c r="P32" i="3"/>
  <c r="P43" i="3" s="1"/>
  <c r="O32" i="3"/>
  <c r="O43" i="3" s="1"/>
  <c r="N32" i="3"/>
  <c r="N43" i="3" s="1"/>
  <c r="N44" i="3" s="1"/>
  <c r="M32" i="3"/>
  <c r="L32" i="3"/>
  <c r="L43" i="3" s="1"/>
  <c r="K32" i="3"/>
  <c r="K43" i="3" s="1"/>
  <c r="J32" i="3"/>
  <c r="J43" i="3" s="1"/>
  <c r="J44" i="3" s="1"/>
  <c r="I32" i="3"/>
  <c r="I43" i="3" s="1"/>
  <c r="H43" i="3"/>
  <c r="G43" i="3"/>
  <c r="F43" i="3"/>
  <c r="F44" i="3" s="1"/>
  <c r="E32" i="3"/>
  <c r="E43" i="3" s="1"/>
  <c r="D32" i="3"/>
  <c r="D43" i="3" s="1"/>
  <c r="AG30" i="3"/>
  <c r="AG41" i="3" s="1"/>
  <c r="AF30" i="3"/>
  <c r="AF41" i="3" s="1"/>
  <c r="AE30" i="3"/>
  <c r="AE41" i="3" s="1"/>
  <c r="AD30" i="3"/>
  <c r="AD41" i="3" s="1"/>
  <c r="AC30" i="3"/>
  <c r="AC41" i="3" s="1"/>
  <c r="AB30" i="3"/>
  <c r="AB41" i="3" s="1"/>
  <c r="AA41" i="3"/>
  <c r="Z41" i="3"/>
  <c r="Y41" i="3"/>
  <c r="X30" i="3"/>
  <c r="X41" i="3" s="1"/>
  <c r="W30" i="3"/>
  <c r="W41" i="3" s="1"/>
  <c r="V30" i="3"/>
  <c r="V41" i="3" s="1"/>
  <c r="U30" i="3"/>
  <c r="U41" i="3" s="1"/>
  <c r="T30" i="3"/>
  <c r="T41" i="3" s="1"/>
  <c r="S30" i="3"/>
  <c r="S41" i="3" s="1"/>
  <c r="R30" i="3"/>
  <c r="R41" i="3" s="1"/>
  <c r="Q30" i="3"/>
  <c r="Q41" i="3" s="1"/>
  <c r="P30" i="3"/>
  <c r="P41" i="3" s="1"/>
  <c r="O30" i="3"/>
  <c r="O41" i="3" s="1"/>
  <c r="N30" i="3"/>
  <c r="N41" i="3" s="1"/>
  <c r="M30" i="3"/>
  <c r="M41" i="3" s="1"/>
  <c r="L30" i="3"/>
  <c r="L41" i="3" s="1"/>
  <c r="K30" i="3"/>
  <c r="K41" i="3" s="1"/>
  <c r="J30" i="3"/>
  <c r="J41" i="3" s="1"/>
  <c r="I30" i="3"/>
  <c r="I41" i="3" s="1"/>
  <c r="H30" i="3"/>
  <c r="H41" i="3" s="1"/>
  <c r="G30" i="3"/>
  <c r="F30" i="3"/>
  <c r="E30" i="3"/>
  <c r="E41" i="3" s="1"/>
  <c r="D30" i="3"/>
  <c r="G40" i="3"/>
  <c r="F40" i="3"/>
  <c r="D40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10" i="3"/>
  <c r="C8" i="3"/>
  <c r="C7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E22" i="3"/>
  <c r="D22" i="3"/>
  <c r="G20" i="3"/>
  <c r="G23" i="3" s="1"/>
  <c r="F20" i="3"/>
  <c r="F23" i="3" s="1"/>
  <c r="E20" i="3"/>
  <c r="D20" i="3"/>
  <c r="C21" i="3"/>
  <c r="C19" i="3"/>
  <c r="G6" i="4"/>
  <c r="H6" i="4"/>
  <c r="I6" i="4"/>
  <c r="I22" i="4" s="1"/>
  <c r="J6" i="4"/>
  <c r="K6" i="4"/>
  <c r="L6" i="4"/>
  <c r="M6" i="4"/>
  <c r="N6" i="4"/>
  <c r="O6" i="4"/>
  <c r="P6" i="4"/>
  <c r="Q6" i="4"/>
  <c r="Q22" i="4" s="1"/>
  <c r="R6" i="4"/>
  <c r="S6" i="4"/>
  <c r="S22" i="4" s="1"/>
  <c r="T6" i="4"/>
  <c r="U6" i="4"/>
  <c r="V6" i="4"/>
  <c r="W6" i="4"/>
  <c r="X6" i="4"/>
  <c r="Y6" i="4"/>
  <c r="Y22" i="4" s="1"/>
  <c r="Z6" i="4"/>
  <c r="AA6" i="4"/>
  <c r="AB6" i="4"/>
  <c r="AC6" i="4"/>
  <c r="AD6" i="4"/>
  <c r="AE6" i="4"/>
  <c r="AF6" i="4"/>
  <c r="AG6" i="4"/>
  <c r="AG22" i="4" s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Y29" i="3" s="1"/>
  <c r="Y31" i="3" s="1"/>
  <c r="Z17" i="3"/>
  <c r="AA17" i="3"/>
  <c r="AB17" i="3"/>
  <c r="AC17" i="3"/>
  <c r="AD17" i="3"/>
  <c r="AE17" i="3"/>
  <c r="AF17" i="3"/>
  <c r="AG17" i="3"/>
  <c r="AE6" i="3"/>
  <c r="AF6" i="3"/>
  <c r="AG6" i="3"/>
  <c r="Z6" i="3"/>
  <c r="AA6" i="3"/>
  <c r="AB6" i="3"/>
  <c r="AC6" i="3"/>
  <c r="AD6" i="3"/>
  <c r="R6" i="3"/>
  <c r="S6" i="3"/>
  <c r="T6" i="3"/>
  <c r="U6" i="3"/>
  <c r="V6" i="3"/>
  <c r="W6" i="3"/>
  <c r="X6" i="3"/>
  <c r="Y6" i="3"/>
  <c r="H6" i="3"/>
  <c r="I6" i="3"/>
  <c r="J6" i="3"/>
  <c r="K6" i="3"/>
  <c r="L6" i="3"/>
  <c r="M6" i="3"/>
  <c r="N6" i="3"/>
  <c r="O6" i="3"/>
  <c r="P6" i="3"/>
  <c r="Q6" i="3"/>
  <c r="G6" i="3"/>
  <c r="F6" i="4"/>
  <c r="F6" i="3"/>
  <c r="E6" i="3"/>
  <c r="G17" i="3"/>
  <c r="E6" i="6"/>
  <c r="E8" i="34" s="1"/>
  <c r="G6" i="6"/>
  <c r="G8" i="34" s="1"/>
  <c r="K6" i="6"/>
  <c r="K8" i="34" s="1"/>
  <c r="O6" i="6"/>
  <c r="O8" i="34" s="1"/>
  <c r="S6" i="6"/>
  <c r="S8" i="34" s="1"/>
  <c r="W6" i="6"/>
  <c r="W8" i="34" s="1"/>
  <c r="AA6" i="6"/>
  <c r="AA8" i="34" s="1"/>
  <c r="AE6" i="6"/>
  <c r="AE8" i="34" s="1"/>
  <c r="H6" i="6"/>
  <c r="H8" i="34" s="1"/>
  <c r="L6" i="6"/>
  <c r="L8" i="34" s="1"/>
  <c r="P6" i="6"/>
  <c r="P8" i="34" s="1"/>
  <c r="T6" i="6"/>
  <c r="T8" i="34" s="1"/>
  <c r="X6" i="6"/>
  <c r="X8" i="34" s="1"/>
  <c r="AB6" i="6"/>
  <c r="AB8" i="34" s="1"/>
  <c r="AF6" i="6"/>
  <c r="AF8" i="34" s="1"/>
  <c r="I6" i="6"/>
  <c r="I8" i="34" s="1"/>
  <c r="M6" i="6"/>
  <c r="M8" i="34" s="1"/>
  <c r="Q6" i="6"/>
  <c r="Q8" i="34" s="1"/>
  <c r="U6" i="6"/>
  <c r="U8" i="34" s="1"/>
  <c r="Y6" i="6"/>
  <c r="Y8" i="34" s="1"/>
  <c r="AC6" i="6"/>
  <c r="AC8" i="34" s="1"/>
  <c r="AG6" i="6"/>
  <c r="AG8" i="34" s="1"/>
  <c r="J6" i="6"/>
  <c r="J8" i="34" s="1"/>
  <c r="N6" i="6"/>
  <c r="N8" i="34" s="1"/>
  <c r="R6" i="6"/>
  <c r="R8" i="34" s="1"/>
  <c r="V6" i="6"/>
  <c r="V8" i="34" s="1"/>
  <c r="Z6" i="6"/>
  <c r="Z8" i="34" s="1"/>
  <c r="AD6" i="6"/>
  <c r="AD8" i="34" s="1"/>
  <c r="F6" i="6"/>
  <c r="F8" i="34" s="1"/>
  <c r="D14" i="4"/>
  <c r="AC48" i="1" l="1"/>
  <c r="AB15" i="32"/>
  <c r="AB16" i="32" s="1"/>
  <c r="AB12" i="34" s="1"/>
  <c r="AB13" i="34" s="1"/>
  <c r="C9" i="34"/>
  <c r="G41" i="3"/>
  <c r="G31" i="3"/>
  <c r="G34" i="3" s="1"/>
  <c r="F41" i="3"/>
  <c r="F42" i="3" s="1"/>
  <c r="F45" i="3" s="1"/>
  <c r="F10" i="34" s="1"/>
  <c r="F11" i="34" s="1"/>
  <c r="F15" i="34" s="1"/>
  <c r="F31" i="3"/>
  <c r="F34" i="3" s="1"/>
  <c r="F8" i="6" s="1"/>
  <c r="G8" i="9"/>
  <c r="H8" i="9" s="1"/>
  <c r="I8" i="9" s="1"/>
  <c r="C81" i="2"/>
  <c r="D41" i="2"/>
  <c r="D45" i="2"/>
  <c r="C20" i="2"/>
  <c r="I7" i="9"/>
  <c r="AF20" i="3"/>
  <c r="AF23" i="3" s="1"/>
  <c r="X29" i="3"/>
  <c r="X31" i="3" s="1"/>
  <c r="P20" i="3"/>
  <c r="P23" i="3" s="1"/>
  <c r="W29" i="3"/>
  <c r="AD29" i="3"/>
  <c r="V29" i="3"/>
  <c r="N20" i="3"/>
  <c r="N23" i="3" s="1"/>
  <c r="O29" i="3"/>
  <c r="M29" i="3"/>
  <c r="AB20" i="3"/>
  <c r="AB23" i="3" s="1"/>
  <c r="T29" i="3"/>
  <c r="L20" i="3"/>
  <c r="L23" i="3" s="1"/>
  <c r="AE29" i="3"/>
  <c r="AC20" i="3"/>
  <c r="AC23" i="3" s="1"/>
  <c r="U29" i="3"/>
  <c r="S29" i="3"/>
  <c r="K29" i="3"/>
  <c r="Z20" i="3"/>
  <c r="Z23" i="3" s="1"/>
  <c r="Z29" i="3"/>
  <c r="Z31" i="3" s="1"/>
  <c r="R29" i="3"/>
  <c r="R40" i="3" s="1"/>
  <c r="R42" i="3" s="1"/>
  <c r="R45" i="3" s="1"/>
  <c r="R10" i="34" s="1"/>
  <c r="R11" i="34" s="1"/>
  <c r="R15" i="34" s="1"/>
  <c r="J20" i="3"/>
  <c r="J23" i="3" s="1"/>
  <c r="AG20" i="3"/>
  <c r="AG23" i="3" s="1"/>
  <c r="Q29" i="3"/>
  <c r="Q31" i="3" s="1"/>
  <c r="I25" i="4"/>
  <c r="I9" i="6" s="1"/>
  <c r="Q25" i="4"/>
  <c r="Q9" i="6" s="1"/>
  <c r="Y25" i="4"/>
  <c r="Y9" i="6" s="1"/>
  <c r="C24" i="4"/>
  <c r="G25" i="4"/>
  <c r="G9" i="6" s="1"/>
  <c r="O25" i="4"/>
  <c r="O9" i="6" s="1"/>
  <c r="W25" i="4"/>
  <c r="W9" i="6" s="1"/>
  <c r="H25" i="4"/>
  <c r="H9" i="6" s="1"/>
  <c r="P25" i="4"/>
  <c r="P9" i="6" s="1"/>
  <c r="X25" i="4"/>
  <c r="X9" i="6" s="1"/>
  <c r="H29" i="3"/>
  <c r="H31" i="3" s="1"/>
  <c r="H34" i="3" s="1"/>
  <c r="H20" i="3"/>
  <c r="H23" i="3" s="1"/>
  <c r="Y20" i="3"/>
  <c r="Y23" i="3" s="1"/>
  <c r="AE9" i="4"/>
  <c r="AE23" i="4"/>
  <c r="AE25" i="4" s="1"/>
  <c r="AE9" i="6" s="1"/>
  <c r="E23" i="3"/>
  <c r="D12" i="3"/>
  <c r="E12" i="3"/>
  <c r="C30" i="3"/>
  <c r="D41" i="3"/>
  <c r="C41" i="3" s="1"/>
  <c r="H44" i="3"/>
  <c r="L33" i="3"/>
  <c r="L44" i="3"/>
  <c r="P33" i="3"/>
  <c r="P44" i="3"/>
  <c r="T33" i="3"/>
  <c r="T44" i="3"/>
  <c r="X33" i="3"/>
  <c r="X44" i="3"/>
  <c r="AB33" i="3"/>
  <c r="AB44" i="3"/>
  <c r="AF33" i="3"/>
  <c r="AF44" i="3"/>
  <c r="E31" i="3"/>
  <c r="E40" i="3"/>
  <c r="E42" i="3" s="1"/>
  <c r="Y40" i="3"/>
  <c r="Y42" i="3" s="1"/>
  <c r="E33" i="3"/>
  <c r="E44" i="3"/>
  <c r="I33" i="3"/>
  <c r="I44" i="3"/>
  <c r="U33" i="3"/>
  <c r="U44" i="3"/>
  <c r="Y33" i="3"/>
  <c r="Y44" i="3"/>
  <c r="H12" i="3"/>
  <c r="L12" i="3"/>
  <c r="P12" i="3"/>
  <c r="T12" i="3"/>
  <c r="X12" i="3"/>
  <c r="AB12" i="3"/>
  <c r="AF12" i="3"/>
  <c r="G12" i="3"/>
  <c r="K12" i="3"/>
  <c r="O12" i="3"/>
  <c r="S12" i="3"/>
  <c r="W12" i="3"/>
  <c r="AA12" i="3"/>
  <c r="AE12" i="3"/>
  <c r="G42" i="3"/>
  <c r="G44" i="3"/>
  <c r="K33" i="3"/>
  <c r="K44" i="3"/>
  <c r="O33" i="3"/>
  <c r="O44" i="3"/>
  <c r="S33" i="3"/>
  <c r="S44" i="3"/>
  <c r="W33" i="3"/>
  <c r="W44" i="3"/>
  <c r="AA33" i="3"/>
  <c r="AA44" i="3"/>
  <c r="AE33" i="3"/>
  <c r="AE44" i="3"/>
  <c r="M33" i="3"/>
  <c r="M43" i="3"/>
  <c r="M44" i="3" s="1"/>
  <c r="Q33" i="3"/>
  <c r="Q43" i="3"/>
  <c r="Q44" i="3" s="1"/>
  <c r="AC33" i="3"/>
  <c r="AC43" i="3"/>
  <c r="AC44" i="3" s="1"/>
  <c r="AG33" i="3"/>
  <c r="AG43" i="3"/>
  <c r="AG44" i="3" s="1"/>
  <c r="G7" i="6"/>
  <c r="I14" i="4"/>
  <c r="S14" i="4"/>
  <c r="AG14" i="4"/>
  <c r="Y14" i="4"/>
  <c r="N28" i="3"/>
  <c r="N39" i="3"/>
  <c r="J28" i="3"/>
  <c r="J39" i="3"/>
  <c r="X39" i="3"/>
  <c r="X28" i="3"/>
  <c r="T28" i="3"/>
  <c r="T39" i="3"/>
  <c r="AC39" i="3"/>
  <c r="AC28" i="3"/>
  <c r="AG39" i="3"/>
  <c r="AG28" i="3"/>
  <c r="AE14" i="4"/>
  <c r="AE22" i="4"/>
  <c r="AA14" i="4"/>
  <c r="AA22" i="4"/>
  <c r="X14" i="4"/>
  <c r="X22" i="4"/>
  <c r="T14" i="4"/>
  <c r="T22" i="4"/>
  <c r="M14" i="4"/>
  <c r="M22" i="4"/>
  <c r="E28" i="3"/>
  <c r="E39" i="3"/>
  <c r="G39" i="3"/>
  <c r="G28" i="3"/>
  <c r="Q39" i="3"/>
  <c r="Q28" i="3"/>
  <c r="M39" i="3"/>
  <c r="M28" i="3"/>
  <c r="I28" i="3"/>
  <c r="I39" i="3"/>
  <c r="W39" i="3"/>
  <c r="W28" i="3"/>
  <c r="S39" i="3"/>
  <c r="S28" i="3"/>
  <c r="AB39" i="3"/>
  <c r="AB28" i="3"/>
  <c r="AF28" i="3"/>
  <c r="AF39" i="3"/>
  <c r="AD14" i="4"/>
  <c r="AD22" i="4"/>
  <c r="Z14" i="4"/>
  <c r="Z22" i="4"/>
  <c r="W14" i="4"/>
  <c r="W22" i="4"/>
  <c r="P14" i="4"/>
  <c r="P22" i="4"/>
  <c r="L14" i="4"/>
  <c r="L22" i="4"/>
  <c r="F14" i="4"/>
  <c r="F22" i="4"/>
  <c r="P28" i="3"/>
  <c r="P39" i="3"/>
  <c r="L39" i="3"/>
  <c r="L28" i="3"/>
  <c r="H39" i="3"/>
  <c r="H28" i="3"/>
  <c r="V28" i="3"/>
  <c r="V39" i="3"/>
  <c r="R28" i="3"/>
  <c r="R39" i="3"/>
  <c r="AA39" i="3"/>
  <c r="AA28" i="3"/>
  <c r="AE39" i="3"/>
  <c r="AE28" i="3"/>
  <c r="AC14" i="4"/>
  <c r="AC22" i="4"/>
  <c r="V14" i="4"/>
  <c r="V22" i="4"/>
  <c r="R14" i="4"/>
  <c r="R22" i="4"/>
  <c r="O14" i="4"/>
  <c r="O22" i="4"/>
  <c r="K14" i="4"/>
  <c r="K22" i="4"/>
  <c r="H14" i="4"/>
  <c r="H22" i="4"/>
  <c r="E14" i="4"/>
  <c r="E22" i="4"/>
  <c r="F28" i="3"/>
  <c r="F39" i="3"/>
  <c r="O39" i="3"/>
  <c r="O28" i="3"/>
  <c r="K39" i="3"/>
  <c r="K28" i="3"/>
  <c r="Y28" i="3"/>
  <c r="Y39" i="3"/>
  <c r="U28" i="3"/>
  <c r="U39" i="3"/>
  <c r="AD28" i="3"/>
  <c r="AD39" i="3"/>
  <c r="Z28" i="3"/>
  <c r="Z39" i="3"/>
  <c r="AF14" i="4"/>
  <c r="AF22" i="4"/>
  <c r="AB14" i="4"/>
  <c r="AB22" i="4"/>
  <c r="U14" i="4"/>
  <c r="U22" i="4"/>
  <c r="Q14" i="4"/>
  <c r="N14" i="4"/>
  <c r="N22" i="4"/>
  <c r="J14" i="4"/>
  <c r="J22" i="4"/>
  <c r="G14" i="4"/>
  <c r="G22" i="4"/>
  <c r="G10" i="9"/>
  <c r="H10" i="9" s="1"/>
  <c r="D33" i="3"/>
  <c r="I12" i="3"/>
  <c r="M12" i="3"/>
  <c r="Q12" i="3"/>
  <c r="U12" i="3"/>
  <c r="Y12" i="3"/>
  <c r="AC12" i="3"/>
  <c r="AG12" i="3"/>
  <c r="J33" i="3"/>
  <c r="N33" i="3"/>
  <c r="R33" i="3"/>
  <c r="V33" i="3"/>
  <c r="Z33" i="3"/>
  <c r="AD33" i="3"/>
  <c r="C32" i="3"/>
  <c r="C22" i="3"/>
  <c r="F12" i="3"/>
  <c r="J12" i="3"/>
  <c r="N12" i="3"/>
  <c r="R12" i="3"/>
  <c r="V12" i="3"/>
  <c r="Z12" i="3"/>
  <c r="AD12" i="3"/>
  <c r="G9" i="9"/>
  <c r="H9" i="9" s="1"/>
  <c r="I9" i="9" s="1"/>
  <c r="G11" i="9"/>
  <c r="H11" i="9" s="1"/>
  <c r="I11" i="9" s="1"/>
  <c r="C9" i="3"/>
  <c r="D31" i="3"/>
  <c r="C60" i="2"/>
  <c r="D25" i="4"/>
  <c r="D23" i="3"/>
  <c r="C11" i="3"/>
  <c r="F7" i="6"/>
  <c r="F25" i="4"/>
  <c r="F9" i="6" s="1"/>
  <c r="J25" i="4"/>
  <c r="J9" i="6" s="1"/>
  <c r="N25" i="4"/>
  <c r="N9" i="6" s="1"/>
  <c r="R25" i="4"/>
  <c r="R9" i="6" s="1"/>
  <c r="V25" i="4"/>
  <c r="V9" i="6" s="1"/>
  <c r="Z25" i="4"/>
  <c r="Z9" i="6" s="1"/>
  <c r="AD25" i="4"/>
  <c r="AD9" i="6" s="1"/>
  <c r="AD48" i="1" l="1"/>
  <c r="AC15" i="32"/>
  <c r="AC16" i="32" s="1"/>
  <c r="AC12" i="34" s="1"/>
  <c r="AC13" i="34" s="1"/>
  <c r="C29" i="9"/>
  <c r="C41" i="2"/>
  <c r="D7" i="6"/>
  <c r="H23" i="9"/>
  <c r="AG10" i="6" s="1"/>
  <c r="C10" i="6" s="1"/>
  <c r="I10" i="9"/>
  <c r="I23" i="9" s="1"/>
  <c r="AG14" i="34" s="1"/>
  <c r="C14" i="34" s="1"/>
  <c r="P29" i="3"/>
  <c r="P31" i="3" s="1"/>
  <c r="P34" i="3" s="1"/>
  <c r="P8" i="6" s="1"/>
  <c r="W20" i="3"/>
  <c r="W23" i="3" s="1"/>
  <c r="K20" i="3"/>
  <c r="K23" i="3" s="1"/>
  <c r="Z40" i="3"/>
  <c r="Z42" i="3" s="1"/>
  <c r="Z45" i="3" s="1"/>
  <c r="Z10" i="34" s="1"/>
  <c r="Z11" i="34" s="1"/>
  <c r="Z15" i="34" s="1"/>
  <c r="AF29" i="3"/>
  <c r="AF40" i="3" s="1"/>
  <c r="AF42" i="3" s="1"/>
  <c r="AF45" i="3" s="1"/>
  <c r="AF10" i="34" s="1"/>
  <c r="AF11" i="34" s="1"/>
  <c r="V20" i="3"/>
  <c r="V23" i="3" s="1"/>
  <c r="AG29" i="3"/>
  <c r="AG40" i="3" s="1"/>
  <c r="AG42" i="3" s="1"/>
  <c r="AG45" i="3" s="1"/>
  <c r="AG10" i="34" s="1"/>
  <c r="T20" i="3"/>
  <c r="T23" i="3" s="1"/>
  <c r="C18" i="3"/>
  <c r="V40" i="3"/>
  <c r="V42" i="3" s="1"/>
  <c r="V45" i="3" s="1"/>
  <c r="V10" i="34" s="1"/>
  <c r="V11" i="34" s="1"/>
  <c r="V15" i="34" s="1"/>
  <c r="V31" i="3"/>
  <c r="V34" i="3" s="1"/>
  <c r="V8" i="6" s="1"/>
  <c r="O40" i="3"/>
  <c r="O42" i="3" s="1"/>
  <c r="O45" i="3" s="1"/>
  <c r="O10" i="34" s="1"/>
  <c r="O11" i="34" s="1"/>
  <c r="O15" i="34" s="1"/>
  <c r="O31" i="3"/>
  <c r="O34" i="3" s="1"/>
  <c r="O8" i="6" s="1"/>
  <c r="AE40" i="3"/>
  <c r="AE42" i="3" s="1"/>
  <c r="AE45" i="3" s="1"/>
  <c r="AE10" i="34" s="1"/>
  <c r="AE11" i="34" s="1"/>
  <c r="AE31" i="3"/>
  <c r="AE34" i="3" s="1"/>
  <c r="AE8" i="6" s="1"/>
  <c r="AD40" i="3"/>
  <c r="AD42" i="3" s="1"/>
  <c r="AD45" i="3" s="1"/>
  <c r="AD10" i="34" s="1"/>
  <c r="AD11" i="34" s="1"/>
  <c r="AD31" i="3"/>
  <c r="AD34" i="3" s="1"/>
  <c r="AD8" i="6" s="1"/>
  <c r="U31" i="3"/>
  <c r="U34" i="3" s="1"/>
  <c r="U8" i="6" s="1"/>
  <c r="U40" i="3"/>
  <c r="U42" i="3" s="1"/>
  <c r="U45" i="3" s="1"/>
  <c r="U10" i="34" s="1"/>
  <c r="U11" i="34" s="1"/>
  <c r="U15" i="34" s="1"/>
  <c r="W40" i="3"/>
  <c r="W42" i="3" s="1"/>
  <c r="W45" i="3" s="1"/>
  <c r="W10" i="34" s="1"/>
  <c r="W11" i="34" s="1"/>
  <c r="W15" i="34" s="1"/>
  <c r="W31" i="3"/>
  <c r="W34" i="3" s="1"/>
  <c r="W8" i="6" s="1"/>
  <c r="T31" i="3"/>
  <c r="T34" i="3" s="1"/>
  <c r="T8" i="6" s="1"/>
  <c r="T40" i="3"/>
  <c r="T42" i="3" s="1"/>
  <c r="T45" i="3" s="1"/>
  <c r="T10" i="34" s="1"/>
  <c r="T11" i="34" s="1"/>
  <c r="T15" i="34" s="1"/>
  <c r="K40" i="3"/>
  <c r="K42" i="3" s="1"/>
  <c r="K45" i="3" s="1"/>
  <c r="K10" i="34" s="1"/>
  <c r="K11" i="34" s="1"/>
  <c r="K15" i="34" s="1"/>
  <c r="K31" i="3"/>
  <c r="K34" i="3" s="1"/>
  <c r="K8" i="6" s="1"/>
  <c r="S40" i="3"/>
  <c r="S42" i="3" s="1"/>
  <c r="S45" i="3" s="1"/>
  <c r="S10" i="34" s="1"/>
  <c r="S11" i="34" s="1"/>
  <c r="S15" i="34" s="1"/>
  <c r="S31" i="3"/>
  <c r="S34" i="3" s="1"/>
  <c r="S8" i="6" s="1"/>
  <c r="M40" i="3"/>
  <c r="M42" i="3" s="1"/>
  <c r="M45" i="3" s="1"/>
  <c r="M10" i="34" s="1"/>
  <c r="M11" i="34" s="1"/>
  <c r="M15" i="34" s="1"/>
  <c r="M31" i="3"/>
  <c r="M34" i="3" s="1"/>
  <c r="M8" i="6" s="1"/>
  <c r="AA20" i="3"/>
  <c r="AA23" i="3" s="1"/>
  <c r="AA29" i="3"/>
  <c r="O20" i="3"/>
  <c r="O23" i="3" s="1"/>
  <c r="U20" i="3"/>
  <c r="U23" i="3" s="1"/>
  <c r="I20" i="3"/>
  <c r="I23" i="3" s="1"/>
  <c r="R20" i="3"/>
  <c r="R23" i="3" s="1"/>
  <c r="L29" i="3"/>
  <c r="AD20" i="3"/>
  <c r="AD23" i="3" s="1"/>
  <c r="S20" i="3"/>
  <c r="S23" i="3" s="1"/>
  <c r="Q20" i="3"/>
  <c r="Q23" i="3" s="1"/>
  <c r="N29" i="3"/>
  <c r="I29" i="3"/>
  <c r="I40" i="3" s="1"/>
  <c r="I42" i="3" s="1"/>
  <c r="I45" i="3" s="1"/>
  <c r="I10" i="34" s="1"/>
  <c r="I11" i="34" s="1"/>
  <c r="I15" i="34" s="1"/>
  <c r="J29" i="3"/>
  <c r="J40" i="3" s="1"/>
  <c r="J42" i="3" s="1"/>
  <c r="J45" i="3" s="1"/>
  <c r="J10" i="34" s="1"/>
  <c r="J11" i="34" s="1"/>
  <c r="J15" i="34" s="1"/>
  <c r="M20" i="3"/>
  <c r="M23" i="3" s="1"/>
  <c r="AC29" i="3"/>
  <c r="AB29" i="3"/>
  <c r="X20" i="3"/>
  <c r="X23" i="3" s="1"/>
  <c r="AE20" i="3"/>
  <c r="AE23" i="3" s="1"/>
  <c r="R31" i="3"/>
  <c r="R34" i="3" s="1"/>
  <c r="R8" i="6" s="1"/>
  <c r="C45" i="2"/>
  <c r="C42" i="2"/>
  <c r="C49" i="2"/>
  <c r="C43" i="2"/>
  <c r="D44" i="2"/>
  <c r="D46" i="2" s="1"/>
  <c r="H40" i="3"/>
  <c r="H42" i="3" s="1"/>
  <c r="H45" i="3" s="1"/>
  <c r="H10" i="34" s="1"/>
  <c r="Z34" i="3"/>
  <c r="Z8" i="6" s="1"/>
  <c r="Q40" i="3"/>
  <c r="Q42" i="3" s="1"/>
  <c r="Q45" i="3" s="1"/>
  <c r="Q10" i="34" s="1"/>
  <c r="Q11" i="34" s="1"/>
  <c r="Q15" i="34" s="1"/>
  <c r="X40" i="3"/>
  <c r="X42" i="3" s="1"/>
  <c r="X45" i="3" s="1"/>
  <c r="X10" i="34" s="1"/>
  <c r="X11" i="34" s="1"/>
  <c r="X15" i="34" s="1"/>
  <c r="AF9" i="4"/>
  <c r="C7" i="4"/>
  <c r="AG9" i="4"/>
  <c r="Y45" i="3"/>
  <c r="Y10" i="34" s="1"/>
  <c r="Y11" i="34" s="1"/>
  <c r="Y15" i="34" s="1"/>
  <c r="G45" i="3"/>
  <c r="G10" i="34" s="1"/>
  <c r="G11" i="34" s="1"/>
  <c r="C33" i="3"/>
  <c r="E45" i="3"/>
  <c r="E10" i="34" s="1"/>
  <c r="E11" i="34" s="1"/>
  <c r="E15" i="34" s="1"/>
  <c r="G8" i="6"/>
  <c r="C43" i="3"/>
  <c r="Y34" i="3"/>
  <c r="Y8" i="6" s="1"/>
  <c r="Q34" i="3"/>
  <c r="Q8" i="6" s="1"/>
  <c r="X34" i="3"/>
  <c r="X8" i="6" s="1"/>
  <c r="H8" i="6"/>
  <c r="D44" i="3"/>
  <c r="C44" i="3" s="1"/>
  <c r="E34" i="3"/>
  <c r="E8" i="6" s="1"/>
  <c r="D42" i="3"/>
  <c r="G46" i="2"/>
  <c r="C12" i="3"/>
  <c r="D34" i="3"/>
  <c r="D8" i="6" s="1"/>
  <c r="AE48" i="1" l="1"/>
  <c r="AD15" i="32"/>
  <c r="AD16" i="32" s="1"/>
  <c r="AD12" i="34" s="1"/>
  <c r="AD13" i="34" s="1"/>
  <c r="AD15" i="34" s="1"/>
  <c r="AG11" i="34"/>
  <c r="H11" i="34"/>
  <c r="H15" i="34" s="1"/>
  <c r="G15" i="34"/>
  <c r="C30" i="9"/>
  <c r="S11" i="6"/>
  <c r="Q11" i="6"/>
  <c r="AE11" i="6"/>
  <c r="X11" i="6"/>
  <c r="Y11" i="6"/>
  <c r="P11" i="6"/>
  <c r="G11" i="6"/>
  <c r="P40" i="3"/>
  <c r="P42" i="3" s="1"/>
  <c r="P45" i="3" s="1"/>
  <c r="P10" i="34" s="1"/>
  <c r="P11" i="34" s="1"/>
  <c r="P15" i="34" s="1"/>
  <c r="AF31" i="3"/>
  <c r="AF34" i="3" s="1"/>
  <c r="AF8" i="6" s="1"/>
  <c r="AG31" i="3"/>
  <c r="AG34" i="3" s="1"/>
  <c r="AG8" i="6" s="1"/>
  <c r="J31" i="3"/>
  <c r="J34" i="3" s="1"/>
  <c r="J8" i="6" s="1"/>
  <c r="AA31" i="3"/>
  <c r="AA34" i="3" s="1"/>
  <c r="AA8" i="6" s="1"/>
  <c r="AA40" i="3"/>
  <c r="AA42" i="3" s="1"/>
  <c r="AA45" i="3" s="1"/>
  <c r="AA10" i="34" s="1"/>
  <c r="AA11" i="34" s="1"/>
  <c r="AA15" i="34" s="1"/>
  <c r="I31" i="3"/>
  <c r="I34" i="3" s="1"/>
  <c r="I8" i="6" s="1"/>
  <c r="C20" i="3"/>
  <c r="AB31" i="3"/>
  <c r="AB34" i="3" s="1"/>
  <c r="AB8" i="6" s="1"/>
  <c r="AB40" i="3"/>
  <c r="AB42" i="3" s="1"/>
  <c r="AB45" i="3" s="1"/>
  <c r="AB10" i="34" s="1"/>
  <c r="AB11" i="34" s="1"/>
  <c r="AB15" i="34" s="1"/>
  <c r="AC40" i="3"/>
  <c r="AC42" i="3" s="1"/>
  <c r="AC45" i="3" s="1"/>
  <c r="AC10" i="34" s="1"/>
  <c r="AC11" i="34" s="1"/>
  <c r="AC15" i="34" s="1"/>
  <c r="AC31" i="3"/>
  <c r="AC34" i="3" s="1"/>
  <c r="AC8" i="6" s="1"/>
  <c r="L31" i="3"/>
  <c r="L34" i="3" s="1"/>
  <c r="L8" i="6" s="1"/>
  <c r="L40" i="3"/>
  <c r="L42" i="3" s="1"/>
  <c r="L45" i="3" s="1"/>
  <c r="L10" i="34" s="1"/>
  <c r="L11" i="34" s="1"/>
  <c r="L15" i="34" s="1"/>
  <c r="N40" i="3"/>
  <c r="N42" i="3" s="1"/>
  <c r="N45" i="3" s="1"/>
  <c r="N10" i="34" s="1"/>
  <c r="N11" i="34" s="1"/>
  <c r="N15" i="34" s="1"/>
  <c r="N31" i="3"/>
  <c r="N34" i="3" s="1"/>
  <c r="N8" i="6" s="1"/>
  <c r="C29" i="3"/>
  <c r="C7" i="6"/>
  <c r="C48" i="2"/>
  <c r="C44" i="2"/>
  <c r="C23" i="3"/>
  <c r="AG17" i="4"/>
  <c r="AG23" i="4"/>
  <c r="AG25" i="4" s="1"/>
  <c r="AG9" i="6" s="1"/>
  <c r="C9" i="4"/>
  <c r="AF17" i="4"/>
  <c r="AF23" i="4"/>
  <c r="C15" i="4"/>
  <c r="D45" i="3"/>
  <c r="D10" i="34" s="1"/>
  <c r="AD11" i="6"/>
  <c r="AF48" i="1" l="1"/>
  <c r="AE15" i="32"/>
  <c r="AE16" i="32" s="1"/>
  <c r="AE12" i="34" s="1"/>
  <c r="AE13" i="34" s="1"/>
  <c r="AE15" i="34" s="1"/>
  <c r="D11" i="34"/>
  <c r="C10" i="34"/>
  <c r="M11" i="6"/>
  <c r="AC11" i="6"/>
  <c r="N11" i="6"/>
  <c r="E11" i="6"/>
  <c r="I11" i="6"/>
  <c r="J11" i="6"/>
  <c r="L11" i="6"/>
  <c r="AA11" i="6"/>
  <c r="C40" i="3"/>
  <c r="C34" i="3"/>
  <c r="C42" i="3"/>
  <c r="C31" i="3"/>
  <c r="D50" i="2"/>
  <c r="C46" i="2"/>
  <c r="C17" i="4"/>
  <c r="AF25" i="4"/>
  <c r="AF9" i="6" s="1"/>
  <c r="C23" i="4"/>
  <c r="W11" i="6"/>
  <c r="K11" i="6"/>
  <c r="H11" i="6"/>
  <c r="F11" i="6"/>
  <c r="R11" i="6"/>
  <c r="T11" i="6"/>
  <c r="D11" i="6"/>
  <c r="U11" i="6"/>
  <c r="C45" i="3"/>
  <c r="O11" i="6"/>
  <c r="Z11" i="6"/>
  <c r="V11" i="6"/>
  <c r="AG48" i="1" l="1"/>
  <c r="AF15" i="32"/>
  <c r="AF16" i="32" s="1"/>
  <c r="AF12" i="34" s="1"/>
  <c r="AF13" i="34" s="1"/>
  <c r="AF15" i="34" s="1"/>
  <c r="D15" i="34"/>
  <c r="C11" i="34"/>
  <c r="C27" i="34"/>
  <c r="AB11" i="6"/>
  <c r="C8" i="6"/>
  <c r="C50" i="2"/>
  <c r="C9" i="6"/>
  <c r="C25" i="4"/>
  <c r="AH48" i="1" l="1"/>
  <c r="AI48" i="1" s="1"/>
  <c r="AJ48" i="1" s="1"/>
  <c r="AK48" i="1" s="1"/>
  <c r="AL48" i="1" s="1"/>
  <c r="AM48" i="1" s="1"/>
  <c r="AN48" i="1" s="1"/>
  <c r="AO48" i="1" s="1"/>
  <c r="AP48" i="1" s="1"/>
  <c r="AG15" i="32"/>
  <c r="AF11" i="6"/>
  <c r="AG16" i="32" l="1"/>
  <c r="C15" i="32"/>
  <c r="AQ49" i="1"/>
  <c r="AG12" i="34" l="1"/>
  <c r="C16" i="32"/>
  <c r="AQ48" i="1"/>
  <c r="AG13" i="34" l="1"/>
  <c r="C12" i="34"/>
  <c r="AQ50" i="1"/>
  <c r="C26" i="34" l="1"/>
  <c r="C17" i="34"/>
  <c r="C13" i="34"/>
  <c r="C19" i="34" s="1"/>
  <c r="AG15" i="34"/>
  <c r="C13" i="6"/>
  <c r="AG11" i="6"/>
  <c r="C11" i="6" s="1"/>
  <c r="C15" i="34" l="1"/>
  <c r="C18" i="34"/>
  <c r="C25" i="34"/>
  <c r="D27" i="34" s="1"/>
  <c r="D26" i="34"/>
  <c r="C14" i="6"/>
  <c r="D25" i="34" l="1"/>
</calcChain>
</file>

<file path=xl/comments1.xml><?xml version="1.0" encoding="utf-8"?>
<comments xmlns="http://schemas.openxmlformats.org/spreadsheetml/2006/main">
  <authors>
    <author>Suster.Martin</author>
  </authors>
  <commentList>
    <comment ref="D17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sharedStrings.xml><?xml version="1.0" encoding="utf-8"?>
<sst xmlns="http://schemas.openxmlformats.org/spreadsheetml/2006/main" count="591" uniqueCount="433">
  <si>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</si>
  <si>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</si>
  <si>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</si>
  <si>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</si>
  <si>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</si>
  <si>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</si>
  <si>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</si>
  <si>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</si>
  <si>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</si>
  <si>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</si>
  <si>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</si>
  <si>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</si>
  <si>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Zostatková hodnota</t>
  </si>
  <si>
    <t>Finančná čistá súčasná hodnota investície (FRR_C)</t>
  </si>
  <si>
    <t>Finančné vnútorné výnosové percento investície  (FIRR_C)</t>
  </si>
  <si>
    <t>6.1 Finančná čistá súčasná hodnota investície  (FRR_C)</t>
  </si>
  <si>
    <t>Tunely</t>
  </si>
  <si>
    <t>Životnosť v rokoch</t>
  </si>
  <si>
    <t>Pozemky</t>
  </si>
  <si>
    <t>Životnosť (vrátane výmeny)</t>
  </si>
  <si>
    <t>Nevyhnutnosť výmeny</t>
  </si>
  <si>
    <t>nekonečná</t>
  </si>
  <si>
    <t>Zostávajúca životnosť v %*</t>
  </si>
  <si>
    <t>Budovy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</si>
  <si>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</si>
  <si>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</si>
  <si>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</si>
  <si>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</si>
  <si>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</si>
  <si>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</si>
  <si>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</si>
  <si>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</si>
  <si>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</si>
  <si>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</si>
  <si>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</si>
  <si>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</si>
  <si>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</si>
  <si>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Celkové investičné náklady</t>
  </si>
  <si>
    <t>Všeobecné parametre</t>
  </si>
  <si>
    <t>.......</t>
  </si>
  <si>
    <t>........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</si>
  <si>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</si>
  <si>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</si>
  <si>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</si>
  <si>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</si>
  <si>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</si>
  <si>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</si>
  <si>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</si>
  <si>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</si>
  <si>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</si>
  <si>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</si>
  <si>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</si>
  <si>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</si>
  <si>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</si>
  <si>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</si>
  <si>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Obdobie prevádzky v rámci referenčného obdobia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</si>
  <si>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</si>
  <si>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</si>
  <si>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</si>
  <si>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</si>
  <si>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</si>
  <si>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</si>
  <si>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</si>
  <si>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</si>
  <si>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</si>
  <si>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Príručka CBA, Tabuľka 20</t>
  </si>
  <si>
    <t>Príručka CBA, Tabuľka 23</t>
  </si>
  <si>
    <t>Autobusy</t>
  </si>
  <si>
    <t>* v prípade, že niektoré infraštrukturálne prvky budú musieť byť vymenené, zostatková hodnota by mala byť vypočítaná z posledných vynaložených investičných výdavkov.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</si>
  <si>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</si>
  <si>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</si>
  <si>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</si>
  <si>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</si>
  <si>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</si>
  <si>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</si>
  <si>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</si>
  <si>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</si>
  <si>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</si>
  <si>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</si>
  <si>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</si>
  <si>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</si>
  <si>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Osobné autá (vrátane motocyklov)</t>
  </si>
  <si>
    <t>Vlaky</t>
  </si>
  <si>
    <t>Dochádzanie do práce</t>
  </si>
  <si>
    <t>Súkromné cesty</t>
  </si>
  <si>
    <t>Hodnota času cestovania v EUR</t>
  </si>
  <si>
    <t>Služobné cesty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</si>
  <si>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</si>
  <si>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</si>
  <si>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</si>
  <si>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</si>
  <si>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</si>
  <si>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Podporné múry, spevňovanie svahu</t>
  </si>
  <si>
    <t>Stavebné objekty podporných, zárubných múrov, vrátane sanácie a spevňovanie svahu;</t>
  </si>
  <si>
    <t>Stavebné výdavky - Protihlukové opatrenia</t>
  </si>
  <si>
    <t>Stavebné výdavky - Budovy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</si>
  <si>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</si>
  <si>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</si>
  <si>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</si>
  <si>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</si>
  <si>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</si>
  <si>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</si>
  <si>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</si>
  <si>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Položka sa stanovuje a uplatňuje v súlade s pravidlami oprávnenosti príslušného programu;</t>
  </si>
  <si>
    <t>Uplatňuje sa iba v prípade cenových úprav stanovených v zmluve o dielo na stavebné práce;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</si>
  <si>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</si>
  <si>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</si>
  <si>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</si>
  <si>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</si>
  <si>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</si>
  <si>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</si>
  <si>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</si>
  <si>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</si>
  <si>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</si>
  <si>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</si>
  <si>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</si>
  <si>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</si>
  <si>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</si>
  <si>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</si>
  <si>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</si>
  <si>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</si>
  <si>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</si>
  <si>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</si>
  <si>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</si>
  <si>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</si>
  <si>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Cenové úpravy (valorizácia)</t>
  </si>
  <si>
    <t>Celkové investičné výdavky vrátane rezervy a valorizácie</t>
  </si>
  <si>
    <t>Celkové investičné výdavky</t>
  </si>
  <si>
    <t>Oprávnené investičné výdavky bez DPH, rezervy a valorizácie</t>
  </si>
  <si>
    <t>Služobná cesta</t>
  </si>
  <si>
    <t>4.1 Príjmy</t>
  </si>
  <si>
    <t>4.2 Príjmy</t>
  </si>
  <si>
    <t>4.3 Príjmy</t>
  </si>
  <si>
    <t>PRÍRASTKOVÉ</t>
  </si>
  <si>
    <t>Mosty železobetónové</t>
  </si>
  <si>
    <t>Mosty oceľové a priepusty</t>
  </si>
  <si>
    <t>Nástupištia</t>
  </si>
  <si>
    <t>Cestné komunikácie</t>
  </si>
  <si>
    <t xml:space="preserve">Trať – železničný spodok </t>
  </si>
  <si>
    <t xml:space="preserve">Trať – železničný zvršok </t>
  </si>
  <si>
    <t>Podporné a oporné múry, spevnenie svahu</t>
  </si>
  <si>
    <t>Elektrifikácia – trakčné napájacie stanice, trakčné vedenia</t>
  </si>
  <si>
    <t>Oznamovacie a telekomunikačné zariadenia</t>
  </si>
  <si>
    <t>Signalizačné a zabezpečovacie zariadenia</t>
  </si>
  <si>
    <t>Zariadenia energetiky a elektrotechniky</t>
  </si>
  <si>
    <t xml:space="preserve">Stroje a zariadenia </t>
  </si>
  <si>
    <t>Protihlukové a iné prvky ochrany životného prostredia</t>
  </si>
  <si>
    <t>Stavebné výdavky - Mosty železobetónové</t>
  </si>
  <si>
    <t>Stavebné výdavky - Mosty oceľové</t>
  </si>
  <si>
    <t>Stavebné objekty mostov s oceľovou konštrukciou vrátane rekonštrukcie, priepusty;</t>
  </si>
  <si>
    <t>Stavebné objekty tunela bez budov a bez trate; razený dvojkoľajný železničný tunel, portál tunela, úniková štôlňa;</t>
  </si>
  <si>
    <t>Stavebné objekty budov, napr. portálové budovy, staničné budovy, iné budovy;</t>
  </si>
  <si>
    <t>Stavebné výdavky - Nástupištia</t>
  </si>
  <si>
    <t>Stavebné objekty nástupíšť, jednostranné, obojstranné, zastrešenie nástupísk;</t>
  </si>
  <si>
    <t>Stavebné objekty mostov železničných aj cestných, vrátane rekonštrukcií mostov, mimoúrovňové cestné križovatky, podchody a podjazdy;</t>
  </si>
  <si>
    <t>Stavebné výdavky - Cestné komunikácie</t>
  </si>
  <si>
    <t>Všetky objekty, ktoré budú odovzdané iným budúcim správcom (okrem preložky ciest), napr. úpravy vodných tokov, inžinierskych sietí a pod);</t>
  </si>
  <si>
    <t>Stavebné výdavky - Trať - železničný spodok</t>
  </si>
  <si>
    <t>Stavebné výdavky - Trať - železničný zvršok</t>
  </si>
  <si>
    <t>Stavebné objekty objektovej cestnej infraštruktúry;</t>
  </si>
  <si>
    <t>Stavebné objekty železničného spodku vrátane trate v tuneli;</t>
  </si>
  <si>
    <t>Stavebné objekty železničného zvršku vrátane trate v tuneli;</t>
  </si>
  <si>
    <t>Stavebné objekty protihlukových stien a ďalších opatrení ochrany životého prostredia vrátane oplotenie diaľnice;</t>
  </si>
  <si>
    <t>Stavebné objetky spätnej rekultivácie, vegetačných úprav a pod; objekty, ktoré nie je možné zaradiť do predchádzajúcich položiek</t>
  </si>
  <si>
    <t>Stavebné výdavky - Elektrifikácia</t>
  </si>
  <si>
    <t>Stavebné výdavky - Oznamovacie a telekomunikačné zariadenia</t>
  </si>
  <si>
    <t>Stavebné výdavky - Signalizačné a zabezpečovacie zariadenia</t>
  </si>
  <si>
    <t>Stavebné výdavky - Stroje a zariadenia</t>
  </si>
  <si>
    <t>Stavebné výdavky - Zariadenia energetiky a elektrotechniky</t>
  </si>
  <si>
    <t>Stavebné objekty súvisiace s elektrifikáciou trat, trakčné napájacie stanice, silnoprúdové zariadenia a technológie, trakčné vedenie;</t>
  </si>
  <si>
    <t>Stavebné objekty železničných telekomunikačných a oznamovacích zariadení;</t>
  </si>
  <si>
    <t>Stavebné objekty systémov ETCS, GSM-R, zabezpečovacie zariadenia SZZ, TZZ, PZZ vrátane stavebných postupov;</t>
  </si>
  <si>
    <t>Stavebné objekty súvisiace s energetickými zariadeniami, napr. prípojka NN, elektrický ohrev výmen, osvetlenie staníc, úprava VN káblov 6 kV, trasformovne;</t>
  </si>
  <si>
    <t>Stavebné objekty technologických zariadení prekladísk, žeriavy a pod.;</t>
  </si>
  <si>
    <t>Príjmy za prístup</t>
  </si>
  <si>
    <t>Celkové prevádzkové výdavky na údržbu</t>
  </si>
  <si>
    <t>Celkové prevádzkové náklady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</si>
  <si>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</si>
  <si>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</si>
  <si>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</si>
  <si>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</si>
  <si>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Mosty oceľové a mosty priepusty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</si>
  <si>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</si>
  <si>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</si>
  <si>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</si>
  <si>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Rok &gt;&gt;&gt;</t>
  </si>
  <si>
    <t>Počet mesiacov</t>
  </si>
  <si>
    <t>1.2 Investičné výdavky (EUR) - finančné</t>
  </si>
  <si>
    <t>1.3 Investičné náklady (EUR) - ekonomické</t>
  </si>
  <si>
    <t>do roku 2021</t>
  </si>
  <si>
    <t>Percentuálna zmena, pokiaľ nie je uvedené inak</t>
  </si>
  <si>
    <t>Jadrová inflácia</t>
  </si>
  <si>
    <t>Čistá inflácia</t>
  </si>
  <si>
    <t>Zdroj: Ministerstvo financií SR, 56. zasadnutie výboru pre makroekonomické prognózy (júl 2021)</t>
  </si>
  <si>
    <t>prog.</t>
  </si>
  <si>
    <t>skut.</t>
  </si>
  <si>
    <t xml:space="preserve">Spotrebiteľská inflácia (CPI) </t>
  </si>
  <si>
    <t xml:space="preserve">   Inflácia regulovaných cien</t>
  </si>
  <si>
    <t xml:space="preserve">   Inflácia cien potravín</t>
  </si>
  <si>
    <t xml:space="preserve">   Inflácia cien palív</t>
  </si>
  <si>
    <t xml:space="preserve">   Inflácia obchodovateľných tovarov</t>
  </si>
  <si>
    <t xml:space="preserve">   Inflácia trhových služieb</t>
  </si>
  <si>
    <t>Investičné náklady</t>
  </si>
  <si>
    <t>vstupy</t>
  </si>
  <si>
    <t>1.1 Obdobie projektovania/výstavby</t>
  </si>
  <si>
    <t>Publicita</t>
  </si>
  <si>
    <t>Iné služby (Technická pomoc, Externé riadenie)</t>
  </si>
  <si>
    <t>z toho:  projektová dokumentácia</t>
  </si>
  <si>
    <t>z toho:  výstavba</t>
  </si>
  <si>
    <t>Rok začiatku projektovania/výstavby</t>
  </si>
  <si>
    <t>Priemerná životnosť po skončení referenčného obdobia (počet rokov)-FA</t>
  </si>
  <si>
    <t>Podiel</t>
  </si>
  <si>
    <t xml:space="preserve">Náklady spolu </t>
  </si>
  <si>
    <t xml:space="preserve">Prínosy spolu </t>
  </si>
  <si>
    <t>Priemerná životnosť po skončení referenčného obdobia (počet rokov)-EA</t>
  </si>
  <si>
    <t>Priemer</t>
  </si>
  <si>
    <t>Príručka CBA, Tabuľka 22</t>
  </si>
  <si>
    <t>Index zastavanej plochy (m2)</t>
  </si>
  <si>
    <t>Energetická trieda A0  (kWh/(m2.a) - administratívne budovy</t>
  </si>
  <si>
    <t>Náklady na prevádzku budovy celkom</t>
  </si>
  <si>
    <t>Služby spojené s prevádzkou</t>
  </si>
  <si>
    <t>Vodné stočné</t>
  </si>
  <si>
    <t>Nebytové priestory</t>
  </si>
  <si>
    <t>Terasa I.</t>
  </si>
  <si>
    <t>Terasa II.</t>
  </si>
  <si>
    <t>Sklady</t>
  </si>
  <si>
    <t>Parkoviská</t>
  </si>
  <si>
    <t>Celkom priestory</t>
  </si>
  <si>
    <t>Jednotková cena</t>
  </si>
  <si>
    <t>Úspora času v peňažnom vyjadrení (v EUR)</t>
  </si>
  <si>
    <t>Celkom úspora času cestujúcich v peňažnom vyjadrení</t>
  </si>
  <si>
    <t>7.1 Čas pracovníkov strávený cestovaním</t>
  </si>
  <si>
    <t>Čas cestovania zamestnancov  BEZ PROJEKTU</t>
  </si>
  <si>
    <t>Čas cestovania zamestnancov  S PROJEKTOM</t>
  </si>
  <si>
    <t>Strata produktivity, z toho:</t>
  </si>
  <si>
    <t>https://voda.tzb-info.cz/tabulky-a-vypocty/94-smerna-cisla-rocni-potreby-vody</t>
  </si>
  <si>
    <t>Celkom (diskontované)</t>
  </si>
  <si>
    <t>Ekonomická čistá súčasná hodnota investície (ENPV)</t>
  </si>
  <si>
    <t>Ekonomická vnútorná miera návratnosti (EIRR)</t>
  </si>
  <si>
    <t>B/C</t>
  </si>
  <si>
    <t>Suma</t>
  </si>
  <si>
    <t>8. Spoločenská čistá súčasná hodnota investície</t>
  </si>
  <si>
    <t>One Park - Nová Budova</t>
  </si>
  <si>
    <t>Vzdialenosť</t>
  </si>
  <si>
    <t>Čajka - Nová budova</t>
  </si>
  <si>
    <t>One Park - Úrad vlády</t>
  </si>
  <si>
    <t>Čajka - Úrad vlády</t>
  </si>
  <si>
    <t>Čas</t>
  </si>
  <si>
    <t>Presun</t>
  </si>
  <si>
    <t>Prenájom priestorov (Park One)</t>
  </si>
  <si>
    <t>Náklady celkom prenájom/ mesiac</t>
  </si>
  <si>
    <t>Úspora prevádzkových nákladov</t>
  </si>
  <si>
    <t>Strata času chôdzou medzi budovami (min)</t>
  </si>
  <si>
    <t>Počet ciest</t>
  </si>
  <si>
    <t>Úspora času/ zamestnanec</t>
  </si>
  <si>
    <t>Úspora času celkom</t>
  </si>
  <si>
    <t>Zaokrúhlene</t>
  </si>
  <si>
    <t>Náklady na prevádzku novej budovy "Čajka" - administratívna časť</t>
  </si>
  <si>
    <t>Výroba a dodávka pitnej vody verejným vodoodom</t>
  </si>
  <si>
    <t>Výroba a distribúcia pitnej vody verejným vodovodom</t>
  </si>
  <si>
    <t>Odvádzanie a čistenie odpadovej vody verejnou kanalizáciou</t>
  </si>
  <si>
    <t>Zdroj: Cenník bratislavská vodárenská spoločnosť, ktorý schválil Úrad pre reguláciu sieťových odvetví svojím rozhodnutím č. 0014/2022/V od 1,4. 2022</t>
  </si>
  <si>
    <t>Náklady na vodné a stočné</t>
  </si>
  <si>
    <t>Kancelárske budoby, spotreba vody v na jednu osobu pri 250 pradovných dňoch</t>
  </si>
  <si>
    <t>Energetická trieda - administratívne budovy</t>
  </si>
  <si>
    <t xml:space="preserve">Triedy energetickej hospodránosti budovy </t>
  </si>
  <si>
    <t>A0</t>
  </si>
  <si>
    <t>A1</t>
  </si>
  <si>
    <t>B</t>
  </si>
  <si>
    <t>C</t>
  </si>
  <si>
    <t>D</t>
  </si>
  <si>
    <t>E</t>
  </si>
  <si>
    <t>F</t>
  </si>
  <si>
    <t>G</t>
  </si>
  <si>
    <t>prenájom kancelárií</t>
  </si>
  <si>
    <t>Prenájom terasa</t>
  </si>
  <si>
    <t>Prenájom sklady</t>
  </si>
  <si>
    <t>Prenájom parkovanie</t>
  </si>
  <si>
    <t>Služby (upratovanie, udržba, poistenie)</t>
  </si>
  <si>
    <t>Položky prenájmu</t>
  </si>
  <si>
    <t>Potreba parkovacích miest</t>
  </si>
  <si>
    <t>Potreba pre návštevy, ostatné účely</t>
  </si>
  <si>
    <t>Začiatok výstavby:</t>
  </si>
  <si>
    <t>2024</t>
  </si>
  <si>
    <t>Koniec výstavby:</t>
  </si>
  <si>
    <t>Náklady spojené s prenájmom (Park One)/mesiac</t>
  </si>
  <si>
    <t>Služby spojené s nájmom/mesiac</t>
  </si>
  <si>
    <t>Nájom/mesiac</t>
  </si>
  <si>
    <t>Energie (energetická trieda B)/mesiac</t>
  </si>
  <si>
    <t>Spotreba PHM/mesiac</t>
  </si>
  <si>
    <t>Opravy/mesiac</t>
  </si>
  <si>
    <t>Umývanie, diaľničné známky, iný doplnkový tovar/mesiac</t>
  </si>
  <si>
    <t>Náklady na energie/mesiac</t>
  </si>
  <si>
    <t>Náklady spolu autodoprava/mesiac</t>
  </si>
  <si>
    <t>Súčasný stav, prevádzkové náklady autodopravy/mesiac</t>
  </si>
  <si>
    <t>Škála energetickcýh tried globálného ukazovateĺa - globálny ukazovateĺ, primárna energia v kWh/m2.a</t>
  </si>
  <si>
    <t>Zdroj: Vyhláška 364/2012 Z. z., príloha č. 3</t>
  </si>
  <si>
    <t xml:space="preserve">Čas potrebný na prípravu na presun </t>
  </si>
  <si>
    <t>Čas chôdze</t>
  </si>
  <si>
    <t>Február 2022</t>
  </si>
  <si>
    <t>Jednotkvá sadbza za energie EUR/MWh (rok 2021)</t>
  </si>
  <si>
    <t>Jednotkvá sadbza za energie EUR/MWh (rok 2022)</t>
  </si>
  <si>
    <t>Počet zamestnancov v prenájme (Park One), súčasný stav</t>
  </si>
  <si>
    <t>Počet zamestnancov pre prenájom/novú budovu, plánovaný stav</t>
  </si>
  <si>
    <t>Námestie Slobody 1 (budova A - stará budova)</t>
  </si>
  <si>
    <t>Námestie Slobody 1 (budova B - nová budova)</t>
  </si>
  <si>
    <t>Počet zamestnancov, lokalita Bratislava</t>
  </si>
  <si>
    <t>Obdobie 01- 03. 2022</t>
  </si>
  <si>
    <t>Vývoj počtu cestujúcich</t>
  </si>
  <si>
    <t>Súčasný stav</t>
  </si>
  <si>
    <t>Zamestnanci celkom</t>
  </si>
  <si>
    <t>Vývoj prenájmu prestorov pre Úrad vlády SR</t>
  </si>
  <si>
    <t>Prenájom priestorov (m2)</t>
  </si>
  <si>
    <t>Potreba skladovacích priestorov</t>
  </si>
  <si>
    <t>Jún 2021</t>
  </si>
  <si>
    <t>Júl 2021</t>
  </si>
  <si>
    <t>august 2021</t>
  </si>
  <si>
    <t>September 2021</t>
  </si>
  <si>
    <t>November 2021</t>
  </si>
  <si>
    <t>December 2021</t>
  </si>
  <si>
    <t>Január 2022</t>
  </si>
  <si>
    <t>Marec 2022</t>
  </si>
  <si>
    <t>Náklady na energie</t>
  </si>
  <si>
    <t>Mesiac/rok</t>
  </si>
  <si>
    <t>Zdroj: Úrad vlády SR</t>
  </si>
  <si>
    <t>Obdobie</t>
  </si>
  <si>
    <t>Priemer za obdobie 
01.- 03. 2022</t>
  </si>
  <si>
    <t>Priemer za obdobie
01.- 03. 2022</t>
  </si>
  <si>
    <t>Lokalita</t>
  </si>
  <si>
    <t>2026</t>
  </si>
  <si>
    <t>Autodoprava - súčasný stav</t>
  </si>
  <si>
    <t>Náklady na energie Park One</t>
  </si>
  <si>
    <t>Osvetlenie parkovacích miest</t>
  </si>
  <si>
    <t>Rozloha (m2)</t>
  </si>
  <si>
    <t>Norma STN (lx/m2) -parkovacie priestory a garáže</t>
  </si>
  <si>
    <t>Spotreba energie MWh/rok</t>
  </si>
  <si>
    <t>Náklady na energie - administratívna časť</t>
  </si>
  <si>
    <t>Náklady na energie - archív a skladové priestory</t>
  </si>
  <si>
    <t>Náklady na energie - podzemné parkovisko</t>
  </si>
  <si>
    <t>Náklady na enegrie - autodoprava</t>
  </si>
  <si>
    <t>Naklady na prevádzku novej budovy  "Čajka"- autodoprava</t>
  </si>
  <si>
    <t>Kuchyňa</t>
  </si>
  <si>
    <t>Maximálne priestorové nároky novej budovy UV SR "Čajka"</t>
  </si>
  <si>
    <t>Maximálna plocha kancelárskych priestorov + spoločenských priestorov (m2)</t>
  </si>
  <si>
    <t>Zdroj: Úrad vlády SR, Investičný zámer - návrh regulatívov</t>
  </si>
  <si>
    <t>Náklady na nákup PHM , doplnkový tovar, opravy</t>
  </si>
  <si>
    <t>Mesiac</t>
  </si>
  <si>
    <t xml:space="preserve"> PHM</t>
  </si>
  <si>
    <t>Doplnkový tovar</t>
  </si>
  <si>
    <t>Opravy</t>
  </si>
  <si>
    <t>Enegie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</si>
  <si>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</si>
  <si>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</si>
  <si>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</si>
  <si>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</si>
  <si>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</si>
  <si>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</si>
  <si>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</si>
  <si>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</si>
  <si>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</si>
  <si>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</si>
  <si>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</si>
  <si>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</si>
  <si>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</si>
  <si>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Priemer / mesiac</t>
  </si>
  <si>
    <t>Náklady na prenájom</t>
  </si>
  <si>
    <t>Náklady na služby</t>
  </si>
  <si>
    <t>Apríl 2022</t>
  </si>
  <si>
    <t>-</t>
  </si>
  <si>
    <t>Štruktúra nových zamestnanci na Úrade vlády Slovenskej republiky</t>
  </si>
  <si>
    <t>Odbor</t>
  </si>
  <si>
    <t>Inštitút pre stratégie a analýzy (ISA)</t>
  </si>
  <si>
    <t>Odbor prevencie korupcie(OPK)</t>
  </si>
  <si>
    <t>Sekcia ekonomiky (SE)</t>
  </si>
  <si>
    <t>Sekcia informačných technológií (SIT)</t>
  </si>
  <si>
    <t>Situačné centrum Slovenskej (SCSR)</t>
  </si>
  <si>
    <t>Sekcia štátnej služby a verejnej služby (SŠSVS)</t>
  </si>
  <si>
    <t>Sekcia plánu obnovy (SPO)</t>
  </si>
  <si>
    <t>Sekcia technickej správy (STS)</t>
  </si>
  <si>
    <t>Sekcia európskych programov (SEP)</t>
  </si>
  <si>
    <t>Kancelária splnomocnenca vlády SR pre rómske komunity (KSVRK)</t>
  </si>
  <si>
    <t>Spolu</t>
  </si>
  <si>
    <t>Varenie jedla, spotreba vody na jedného stravníka</t>
  </si>
  <si>
    <t>Vodné stočné - kuchyňa</t>
  </si>
  <si>
    <t>Náklady na energie - kuchyňa</t>
  </si>
  <si>
    <r>
      <rPr>
        <sz val="9"/>
        <rFont val="Arial"/>
        <family val="2"/>
        <charset val="238"/>
      </rPr>
      <t>Zdroj</t>
    </r>
    <r>
      <rPr>
        <u/>
        <sz val="9"/>
        <color theme="10"/>
        <rFont val="Arial"/>
        <family val="2"/>
        <charset val="238"/>
      </rPr>
      <t>:  https://www.crz.gov.sk/zmluva/5335625/</t>
    </r>
  </si>
  <si>
    <t>Prenájom Park One</t>
  </si>
  <si>
    <t>Strata produktivity - chôdzou</t>
  </si>
  <si>
    <t>Náklady na úpravu kancelárií (Park One) - skutočnosť</t>
  </si>
  <si>
    <t>Po roku 2027</t>
  </si>
  <si>
    <t>Nový zamestanci - kuchyňa</t>
  </si>
  <si>
    <t>Nový zamestanci - ochrana a bezpečnosť</t>
  </si>
  <si>
    <t>Úrad pre ochranu ústavných činiteľov – odbor ochrany určených objektov</t>
  </si>
  <si>
    <t>Nový administratívny zamestnanci celkom</t>
  </si>
  <si>
    <t>Nový zamestnanci technickej správy a obhrany celkom</t>
  </si>
  <si>
    <t>Nový zamestanci</t>
  </si>
  <si>
    <t>Nový zamestanci technickej správy a ochrany a bezpečnosti</t>
  </si>
  <si>
    <t>Potreba pre kancelárie novej administratívnej UV SR „Čajka“</t>
  </si>
  <si>
    <t>Zrušené parkovacie miesta v areály UV SR (nahradenie zeleňou)</t>
  </si>
  <si>
    <t>z toho autodoprava</t>
  </si>
  <si>
    <t>Administratívne budovy a verejné inštitúcie</t>
  </si>
  <si>
    <t>Funkčné využitie</t>
  </si>
  <si>
    <t>Účelová jednotka</t>
  </si>
  <si>
    <t>Počet účelových jednotiek</t>
  </si>
  <si>
    <t>Počet účelových jednotiek na 1 stojisko</t>
  </si>
  <si>
    <t>Základný počet stojísk</t>
  </si>
  <si>
    <t>Obrátka</t>
  </si>
  <si>
    <t>SK</t>
  </si>
  <si>
    <t>Celkový počet státí</t>
  </si>
  <si>
    <t>Krátkodobé</t>
  </si>
  <si>
    <t>Dlhodobé</t>
  </si>
  <si>
    <t>kancelárie</t>
  </si>
  <si>
    <t>zamestnanci</t>
  </si>
  <si>
    <t>alebo plocha</t>
  </si>
  <si>
    <t>návštevníci</t>
  </si>
  <si>
    <t>plocha m2</t>
  </si>
  <si>
    <t>Počet zamestnancov autodopravy</t>
  </si>
  <si>
    <t>Priestory pre archív a skladovacie priestory, technické priestory, serverovne (m2)</t>
  </si>
  <si>
    <t>Odhadované priestory pre parkovanie (podzemné priestory) na základe počtu zamestnancov + priestory autodopravy</t>
  </si>
  <si>
    <t>Priestory pre autodopravu</t>
  </si>
  <si>
    <t>Odbor verejného obstarávania OVO</t>
  </si>
  <si>
    <t>Osobný úrad (OÚ)</t>
  </si>
  <si>
    <t>Z toho administratívny zamestnanci pre prenájom</t>
  </si>
  <si>
    <t>Z toho zamestnanci pre novú budovu</t>
  </si>
  <si>
    <t>Odhadované investičné výdavky novej budovy UV SR "Čajka"</t>
  </si>
  <si>
    <t>Architektonická súťaž</t>
  </si>
  <si>
    <t>Projektová dokumentácia</t>
  </si>
  <si>
    <t>Nová vládna budova - podzemná časť</t>
  </si>
  <si>
    <t>Nová vládna budova - nadzemná časť</t>
  </si>
  <si>
    <t>Cena celkom</t>
  </si>
  <si>
    <t>Odhadované jednotkové náklady investčiných výdavkov novej budovy UV SR "Čajka"</t>
  </si>
  <si>
    <t>Nová vládna budova - podzemná časť (EUR/m2)</t>
  </si>
  <si>
    <t>Nová vládna budova - nadzemná časť (EUR/m2)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</si>
</sst>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_ ;[Red]\-#,##0\ "/>
    <numFmt numFmtId="165" formatCode="0.0"/>
    <numFmt numFmtId="166" formatCode="0.0%"/>
    <numFmt numFmtId="167" formatCode="_-* #,##0.00\ _S_k_-;\-* #,##0.00\ _S_k_-;_-* &quot;-&quot;??\ _S_k_-;_-@_-"/>
    <numFmt numFmtId="168" formatCode="_-* #,##0.00\ _S_k_-;\-* #,##0.00\ _S_k_-;_-* \-??\ _S_k_-;_-@_-"/>
    <numFmt numFmtId="169" formatCode="#,##0.0000000000"/>
    <numFmt numFmtId="170" formatCode="_-* #,##0_-;\-* #,##0_-;_-* &quot;-&quot;??_-;_-@_-"/>
    <numFmt numFmtId="171" formatCode="#,##0.000_ ;[Red]\-#,##0.000\ "/>
    <numFmt numFmtId="172" formatCode="#,##0.0"/>
  </numFmts>
  <fonts count="10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8"/>
      <color rgb="FF3399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i/>
      <sz val="10"/>
      <color indexed="23"/>
      <name val="Calibri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indexed="23"/>
      <name val="Calibri"/>
      <family val="2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indexed="23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5">
    <xf numFmtId="0" fontId="0" fillId="0" borderId="0"/>
    <xf numFmtId="0" fontId="10" fillId="0" borderId="0"/>
    <xf numFmtId="9" fontId="8" fillId="0" borderId="0" applyFont="0" applyFill="0" applyBorder="0" applyAlignment="0" applyProtection="0"/>
    <xf numFmtId="0" fontId="7" fillId="0" borderId="0"/>
    <xf numFmtId="0" fontId="19" fillId="0" borderId="0"/>
    <xf numFmtId="43" fontId="32" fillId="0" borderId="0" applyFont="0" applyFill="0" applyBorder="0" applyAlignment="0" applyProtection="0"/>
    <xf numFmtId="0" fontId="19" fillId="0" borderId="0"/>
    <xf numFmtId="0" fontId="19" fillId="0" borderId="0"/>
    <xf numFmtId="0" fontId="44" fillId="0" borderId="0"/>
    <xf numFmtId="0" fontId="45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9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7" fillId="0" borderId="0"/>
    <xf numFmtId="4" fontId="50" fillId="43" borderId="29" applyNumberFormat="0" applyProtection="0">
      <alignment vertical="center"/>
    </xf>
    <xf numFmtId="0" fontId="4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52" fillId="0" borderId="0"/>
    <xf numFmtId="0" fontId="8" fillId="0" borderId="0">
      <alignment vertical="center"/>
    </xf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6" fillId="0" borderId="0"/>
    <xf numFmtId="9" fontId="6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3" fillId="0" borderId="0"/>
    <xf numFmtId="0" fontId="48" fillId="0" borderId="0"/>
    <xf numFmtId="0" fontId="48" fillId="0" borderId="0"/>
    <xf numFmtId="0" fontId="8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39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7" fillId="0" borderId="0"/>
    <xf numFmtId="0" fontId="3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9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46" fillId="0" borderId="0"/>
    <xf numFmtId="9" fontId="46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46" fillId="0" borderId="0"/>
    <xf numFmtId="9" fontId="46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46" fillId="0" borderId="0"/>
    <xf numFmtId="9" fontId="46" fillId="0" borderId="0" applyFont="0" applyFill="0" applyBorder="0" applyAlignment="0" applyProtection="0"/>
    <xf numFmtId="0" fontId="48" fillId="0" borderId="0"/>
    <xf numFmtId="0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7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54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 applyNumberFormat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6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6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48" fillId="0" borderId="0"/>
    <xf numFmtId="167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8" fillId="0" borderId="0">
      <alignment vertical="center"/>
    </xf>
    <xf numFmtId="0" fontId="4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0" fontId="8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/>
    <xf numFmtId="0" fontId="48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8" fillId="0" borderId="0">
      <alignment vertical="center"/>
    </xf>
    <xf numFmtId="0" fontId="48" fillId="0" borderId="0"/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/>
    <xf numFmtId="0" fontId="8" fillId="0" borderId="0">
      <alignment vertical="center"/>
    </xf>
    <xf numFmtId="0" fontId="8" fillId="0" borderId="0" applyNumberFormat="0" applyFont="0" applyFill="0" applyBorder="0" applyAlignment="0" applyProtection="0"/>
    <xf numFmtId="0" fontId="6" fillId="0" borderId="0"/>
    <xf numFmtId="0" fontId="8" fillId="0" borderId="0">
      <alignment vertical="center"/>
    </xf>
    <xf numFmtId="9" fontId="54" fillId="0" borderId="0" applyFont="0" applyFill="0" applyBorder="0" applyAlignment="0" applyProtection="0"/>
    <xf numFmtId="0" fontId="48" fillId="0" borderId="0"/>
    <xf numFmtId="0" fontId="4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4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4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4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4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6" fillId="0" borderId="0"/>
    <xf numFmtId="0" fontId="6" fillId="0" borderId="0"/>
    <xf numFmtId="0" fontId="8" fillId="0" borderId="0" applyNumberFormat="0" applyFont="0" applyFill="0" applyBorder="0" applyAlignment="0" applyProtection="0"/>
    <xf numFmtId="9" fontId="54" fillId="0" borderId="0" applyFont="0" applyFill="0" applyBorder="0" applyAlignment="0" applyProtection="0"/>
    <xf numFmtId="0" fontId="47" fillId="0" borderId="0"/>
    <xf numFmtId="0" fontId="8" fillId="0" borderId="0"/>
    <xf numFmtId="0" fontId="55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9" fillId="9" borderId="0" applyNumberFormat="0" applyBorder="0" applyAlignment="0" applyProtection="0"/>
    <xf numFmtId="0" fontId="60" fillId="10" borderId="0" applyNumberFormat="0" applyBorder="0" applyAlignment="0" applyProtection="0"/>
    <xf numFmtId="0" fontId="61" fillId="11" borderId="0" applyNumberFormat="0" applyBorder="0" applyAlignment="0" applyProtection="0"/>
    <xf numFmtId="0" fontId="62" fillId="12" borderId="19" applyNumberFormat="0" applyAlignment="0" applyProtection="0"/>
    <xf numFmtId="0" fontId="63" fillId="13" borderId="20" applyNumberFormat="0" applyAlignment="0" applyProtection="0"/>
    <xf numFmtId="0" fontId="64" fillId="13" borderId="19" applyNumberFormat="0" applyAlignment="0" applyProtection="0"/>
    <xf numFmtId="0" fontId="65" fillId="0" borderId="21" applyNumberFormat="0" applyFill="0" applyAlignment="0" applyProtection="0"/>
    <xf numFmtId="0" fontId="66" fillId="14" borderId="22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4" applyNumberFormat="0" applyFill="0" applyAlignment="0" applyProtection="0"/>
    <xf numFmtId="0" fontId="70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70" fillId="19" borderId="0" applyNumberFormat="0" applyBorder="0" applyAlignment="0" applyProtection="0"/>
    <xf numFmtId="0" fontId="70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70" fillId="23" borderId="0" applyNumberFormat="0" applyBorder="0" applyAlignment="0" applyProtection="0"/>
    <xf numFmtId="0" fontId="70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70" fillId="27" borderId="0" applyNumberFormat="0" applyBorder="0" applyAlignment="0" applyProtection="0"/>
    <xf numFmtId="0" fontId="70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70" fillId="31" borderId="0" applyNumberFormat="0" applyBorder="0" applyAlignment="0" applyProtection="0"/>
    <xf numFmtId="0" fontId="70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70" fillId="39" borderId="0" applyNumberFormat="0" applyBorder="0" applyAlignment="0" applyProtection="0"/>
    <xf numFmtId="0" fontId="47" fillId="15" borderId="23" applyNumberFormat="0" applyFont="0" applyAlignment="0" applyProtection="0"/>
    <xf numFmtId="0" fontId="47" fillId="15" borderId="23" applyNumberFormat="0" applyFont="0" applyAlignment="0" applyProtection="0"/>
    <xf numFmtId="0" fontId="47" fillId="15" borderId="23" applyNumberFormat="0" applyFont="0" applyAlignment="0" applyProtection="0"/>
    <xf numFmtId="0" fontId="47" fillId="15" borderId="23" applyNumberFormat="0" applyFont="0" applyAlignment="0" applyProtection="0"/>
    <xf numFmtId="0" fontId="47" fillId="15" borderId="23" applyNumberFormat="0" applyFont="0" applyAlignment="0" applyProtection="0"/>
    <xf numFmtId="0" fontId="47" fillId="15" borderId="23" applyNumberFormat="0" applyFont="0" applyAlignment="0" applyProtection="0"/>
    <xf numFmtId="0" fontId="47" fillId="0" borderId="0"/>
    <xf numFmtId="0" fontId="4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0" borderId="0"/>
    <xf numFmtId="0" fontId="33" fillId="0" borderId="0"/>
    <xf numFmtId="0" fontId="46" fillId="0" borderId="0"/>
    <xf numFmtId="9" fontId="46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2" fillId="56" borderId="0" applyNumberFormat="0" applyBorder="0" applyAlignment="0" applyProtection="0"/>
    <xf numFmtId="0" fontId="71" fillId="50" borderId="0" applyNumberFormat="0" applyBorder="0" applyAlignment="0" applyProtection="0"/>
    <xf numFmtId="0" fontId="72" fillId="52" borderId="0" applyNumberFormat="0" applyBorder="0" applyAlignment="0" applyProtection="0"/>
    <xf numFmtId="0" fontId="8" fillId="0" borderId="0"/>
    <xf numFmtId="0" fontId="77" fillId="46" borderId="0" applyNumberFormat="0" applyBorder="0" applyAlignment="0" applyProtection="0"/>
    <xf numFmtId="0" fontId="8" fillId="0" borderId="0"/>
    <xf numFmtId="0" fontId="71" fillId="64" borderId="36" applyNumberFormat="0" applyFont="0" applyAlignment="0" applyProtection="0"/>
    <xf numFmtId="0" fontId="8" fillId="0" borderId="0"/>
    <xf numFmtId="0" fontId="86" fillId="0" borderId="38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75" fillId="63" borderId="31" applyNumberFormat="0" applyAlignment="0" applyProtection="0"/>
    <xf numFmtId="0" fontId="33" fillId="0" borderId="0"/>
    <xf numFmtId="0" fontId="8" fillId="0" borderId="0"/>
    <xf numFmtId="9" fontId="8" fillId="0" borderId="0" applyFont="0" applyFill="0" applyBorder="0" applyAlignment="0" applyProtection="0"/>
    <xf numFmtId="0" fontId="72" fillId="55" borderId="0" applyNumberFormat="0" applyBorder="0" applyAlignment="0" applyProtection="0"/>
    <xf numFmtId="0" fontId="71" fillId="46" borderId="0" applyNumberFormat="0" applyBorder="0" applyAlignment="0" applyProtection="0"/>
    <xf numFmtId="0" fontId="72" fillId="60" borderId="0" applyNumberFormat="0" applyBorder="0" applyAlignment="0" applyProtection="0"/>
    <xf numFmtId="0" fontId="8" fillId="0" borderId="0"/>
    <xf numFmtId="0" fontId="8" fillId="0" borderId="0"/>
    <xf numFmtId="0" fontId="71" fillId="50" borderId="0" applyNumberFormat="0" applyBorder="0" applyAlignment="0" applyProtection="0"/>
    <xf numFmtId="0" fontId="8" fillId="0" borderId="0"/>
    <xf numFmtId="0" fontId="81" fillId="49" borderId="30" applyNumberFormat="0" applyAlignment="0" applyProtection="0"/>
    <xf numFmtId="0" fontId="8" fillId="0" borderId="0"/>
    <xf numFmtId="0" fontId="71" fillId="52" borderId="0" applyNumberFormat="0" applyBorder="0" applyAlignment="0" applyProtection="0"/>
    <xf numFmtId="0" fontId="8" fillId="0" borderId="0"/>
    <xf numFmtId="0" fontId="82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71" fillId="47" borderId="0" applyNumberFormat="0" applyBorder="0" applyAlignment="0" applyProtection="0"/>
    <xf numFmtId="0" fontId="71" fillId="45" borderId="0" applyNumberFormat="0" applyBorder="0" applyAlignment="0" applyProtection="0"/>
    <xf numFmtId="0" fontId="84" fillId="62" borderId="37" applyNumberFormat="0" applyAlignment="0" applyProtection="0"/>
    <xf numFmtId="0" fontId="80" fillId="0" borderId="34" applyNumberFormat="0" applyFill="0" applyAlignment="0" applyProtection="0"/>
    <xf numFmtId="0" fontId="71" fillId="53" borderId="0" applyNumberFormat="0" applyBorder="0" applyAlignment="0" applyProtection="0"/>
    <xf numFmtId="0" fontId="78" fillId="0" borderId="32" applyNumberFormat="0" applyFill="0" applyAlignment="0" applyProtection="0"/>
    <xf numFmtId="0" fontId="71" fillId="51" borderId="0" applyNumberFormat="0" applyBorder="0" applyAlignment="0" applyProtection="0"/>
    <xf numFmtId="0" fontId="8" fillId="0" borderId="0"/>
    <xf numFmtId="0" fontId="72" fillId="58" borderId="0" applyNumberFormat="0" applyBorder="0" applyAlignment="0" applyProtection="0"/>
    <xf numFmtId="0" fontId="74" fillId="62" borderId="30" applyNumberFormat="0" applyAlignment="0" applyProtection="0"/>
    <xf numFmtId="0" fontId="71" fillId="48" borderId="0" applyNumberFormat="0" applyBorder="0" applyAlignment="0" applyProtection="0"/>
    <xf numFmtId="0" fontId="79" fillId="0" borderId="33" applyNumberFormat="0" applyFill="0" applyAlignment="0" applyProtection="0"/>
    <xf numFmtId="0" fontId="80" fillId="0" borderId="0" applyNumberFormat="0" applyFill="0" applyBorder="0" applyAlignment="0" applyProtection="0"/>
    <xf numFmtId="0" fontId="72" fillId="56" borderId="0" applyNumberFormat="0" applyBorder="0" applyAlignment="0" applyProtection="0"/>
    <xf numFmtId="0" fontId="72" fillId="5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5" fillId="0" borderId="0" applyNumberFormat="0" applyFill="0" applyBorder="0" applyAlignment="0" applyProtection="0"/>
    <xf numFmtId="0" fontId="72" fillId="61" borderId="0" applyNumberFormat="0" applyBorder="0" applyAlignment="0" applyProtection="0"/>
    <xf numFmtId="0" fontId="8" fillId="0" borderId="0"/>
    <xf numFmtId="0" fontId="71" fillId="47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2" fillId="59" borderId="0" applyNumberFormat="0" applyBorder="0" applyAlignment="0" applyProtection="0"/>
    <xf numFmtId="0" fontId="76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3" fillId="45" borderId="0" applyNumberFormat="0" applyBorder="0" applyAlignment="0" applyProtection="0"/>
    <xf numFmtId="0" fontId="72" fillId="57" borderId="0" applyNumberFormat="0" applyBorder="0" applyAlignment="0" applyProtection="0"/>
    <xf numFmtId="0" fontId="72" fillId="54" borderId="0" applyNumberFormat="0" applyBorder="0" applyAlignment="0" applyProtection="0"/>
    <xf numFmtId="9" fontId="8" fillId="0" borderId="0" applyFont="0" applyFill="0" applyBorder="0" applyAlignment="0" applyProtection="0"/>
    <xf numFmtId="0" fontId="83" fillId="43" borderId="0" applyNumberFormat="0" applyBorder="0" applyAlignment="0" applyProtection="0"/>
    <xf numFmtId="0" fontId="71" fillId="44" borderId="0" applyNumberFormat="0" applyBorder="0" applyAlignment="0" applyProtection="0"/>
    <xf numFmtId="0" fontId="8" fillId="0" borderId="0"/>
    <xf numFmtId="0" fontId="45" fillId="0" borderId="0"/>
    <xf numFmtId="168" fontId="8" fillId="0" borderId="0" applyFill="0" applyBorder="0" applyAlignment="0" applyProtection="0"/>
    <xf numFmtId="0" fontId="46" fillId="0" borderId="0"/>
    <xf numFmtId="0" fontId="8" fillId="0" borderId="0">
      <alignment vertical="center"/>
    </xf>
    <xf numFmtId="167" fontId="8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6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6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9" fontId="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" fillId="0" borderId="0"/>
    <xf numFmtId="0" fontId="72" fillId="55" borderId="0" applyNumberFormat="0" applyBorder="0" applyAlignment="0" applyProtection="0"/>
    <xf numFmtId="0" fontId="71" fillId="49" borderId="0" applyNumberFormat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>
      <alignment vertical="center"/>
    </xf>
    <xf numFmtId="9" fontId="8" fillId="0" borderId="0" applyFont="0" applyFill="0" applyBorder="0" applyAlignment="0" applyProtection="0"/>
    <xf numFmtId="0" fontId="46" fillId="0" borderId="0"/>
    <xf numFmtId="9" fontId="45" fillId="0" borderId="0" applyFont="0" applyFill="0" applyBorder="0" applyAlignment="0" applyProtection="0"/>
    <xf numFmtId="0" fontId="33" fillId="0" borderId="0"/>
    <xf numFmtId="9" fontId="45" fillId="0" borderId="0" applyFont="0" applyFill="0" applyBorder="0" applyAlignment="0" applyProtection="0"/>
    <xf numFmtId="4" fontId="50" fillId="43" borderId="42" applyNumberFormat="0" applyProtection="0">
      <alignment vertical="center"/>
    </xf>
    <xf numFmtId="0" fontId="81" fillId="49" borderId="43" applyNumberFormat="0" applyAlignment="0" applyProtection="0"/>
    <xf numFmtId="0" fontId="6" fillId="0" borderId="0"/>
    <xf numFmtId="0" fontId="74" fillId="62" borderId="43" applyNumberFormat="0" applyAlignment="0" applyProtection="0"/>
    <xf numFmtId="0" fontId="6" fillId="0" borderId="0"/>
    <xf numFmtId="0" fontId="71" fillId="64" borderId="44" applyNumberFormat="0" applyFont="0" applyAlignment="0" applyProtection="0"/>
    <xf numFmtId="9" fontId="45" fillId="0" borderId="0" applyFont="0" applyFill="0" applyBorder="0" applyAlignment="0" applyProtection="0"/>
    <xf numFmtId="0" fontId="6" fillId="0" borderId="0"/>
    <xf numFmtId="0" fontId="86" fillId="0" borderId="46" applyNumberFormat="0" applyFill="0" applyAlignment="0" applyProtection="0"/>
    <xf numFmtId="9" fontId="45" fillId="0" borderId="0" applyFont="0" applyFill="0" applyBorder="0" applyAlignment="0" applyProtection="0"/>
    <xf numFmtId="0" fontId="84" fillId="62" borderId="45" applyNumberFormat="0" applyAlignment="0" applyProtection="0"/>
    <xf numFmtId="9" fontId="45" fillId="0" borderId="0" applyFont="0" applyFill="0" applyBorder="0" applyAlignment="0" applyProtection="0"/>
    <xf numFmtId="0" fontId="5" fillId="0" borderId="0"/>
    <xf numFmtId="0" fontId="90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08">
    <xf numFmtId="0" fontId="0" fillId="0" borderId="0" xfId="0"/>
    <xf numFmtId="0" fontId="9" fillId="0" borderId="0" xfId="0" applyFont="1" applyProtection="1">
      <protection hidden="1"/>
    </xf>
    <xf numFmtId="0" fontId="9" fillId="6" borderId="8" xfId="0" applyFont="1" applyFill="1" applyBorder="1" applyProtection="1">
      <protection hidden="1"/>
    </xf>
    <xf numFmtId="0" fontId="9" fillId="6" borderId="10" xfId="0" applyFont="1" applyFill="1" applyBorder="1" applyProtection="1">
      <protection hidden="1"/>
    </xf>
    <xf numFmtId="0" fontId="9" fillId="6" borderId="9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9" fillId="6" borderId="11" xfId="0" applyFont="1" applyFill="1" applyBorder="1" applyProtection="1">
      <protection hidden="1"/>
    </xf>
    <xf numFmtId="0" fontId="9" fillId="6" borderId="0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9" fillId="6" borderId="12" xfId="0" applyFont="1" applyFill="1" applyBorder="1" applyProtection="1">
      <protection hidden="1"/>
    </xf>
    <xf numFmtId="0" fontId="9" fillId="6" borderId="13" xfId="0" applyFont="1" applyFill="1" applyBorder="1" applyProtection="1">
      <protection hidden="1"/>
    </xf>
    <xf numFmtId="0" fontId="9" fillId="6" borderId="14" xfId="0" applyFont="1" applyFill="1" applyBorder="1" applyProtection="1">
      <protection hidden="1"/>
    </xf>
    <xf numFmtId="0" fontId="9" fillId="6" borderId="15" xfId="0" applyFont="1" applyFill="1" applyBorder="1" applyProtection="1">
      <protection hidden="1"/>
    </xf>
    <xf numFmtId="0" fontId="13" fillId="7" borderId="1" xfId="0" applyFont="1" applyFill="1" applyBorder="1" applyAlignment="1" applyProtection="1">
      <alignment horizontal="left" vertical="center"/>
      <protection hidden="1"/>
    </xf>
    <xf numFmtId="0" fontId="9" fillId="0" borderId="3" xfId="0" applyFont="1" applyBorder="1" applyProtection="1">
      <protection hidden="1"/>
    </xf>
    <xf numFmtId="9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hidden="1"/>
    </xf>
    <xf numFmtId="0" fontId="9" fillId="0" borderId="1" xfId="0" applyFont="1" applyBorder="1" applyProtection="1">
      <protection hidden="1"/>
    </xf>
    <xf numFmtId="9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2" fillId="7" borderId="1" xfId="0" applyFont="1" applyFill="1" applyBorder="1" applyAlignment="1" applyProtection="1">
      <alignment horizontal="left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10" fontId="17" fillId="0" borderId="1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9" fillId="7" borderId="1" xfId="0" applyFont="1" applyFill="1" applyBorder="1" applyProtection="1"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166" fontId="16" fillId="0" borderId="1" xfId="2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3" fillId="7" borderId="1" xfId="0" applyFont="1" applyFill="1" applyBorder="1" applyAlignment="1" applyProtection="1">
      <alignment horizontal="left" vertical="center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166" fontId="9" fillId="0" borderId="1" xfId="0" applyNumberFormat="1" applyFont="1" applyFill="1" applyBorder="1" applyAlignment="1" applyProtection="1">
      <alignment horizontal="center" vertical="center"/>
      <protection hidden="1"/>
    </xf>
    <xf numFmtId="166" fontId="21" fillId="0" borderId="0" xfId="0" applyNumberFormat="1" applyFont="1" applyProtection="1">
      <protection hidden="1"/>
    </xf>
    <xf numFmtId="0" fontId="13" fillId="7" borderId="1" xfId="0" applyFont="1" applyFill="1" applyBorder="1" applyAlignment="1" applyProtection="1">
      <alignment horizontal="left" vertical="center" wrapText="1"/>
      <protection hidden="1"/>
    </xf>
    <xf numFmtId="0" fontId="9" fillId="0" borderId="3" xfId="0" applyFont="1" applyFill="1" applyBorder="1" applyAlignment="1" applyProtection="1">
      <alignment horizontal="left" vertical="center"/>
      <protection hidden="1"/>
    </xf>
    <xf numFmtId="4" fontId="9" fillId="0" borderId="3" xfId="0" applyNumberFormat="1" applyFont="1" applyFill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horizontal="center" vertical="center"/>
      <protection hidden="1"/>
    </xf>
    <xf numFmtId="4" fontId="20" fillId="0" borderId="0" xfId="0" applyNumberFormat="1" applyFont="1" applyProtection="1">
      <protection hidden="1"/>
    </xf>
    <xf numFmtId="0" fontId="9" fillId="0" borderId="1" xfId="0" applyFont="1" applyFill="1" applyBorder="1" applyAlignment="1" applyProtection="1">
      <alignment horizontal="left" vertical="center"/>
      <protection hidden="1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101" fillId="0" borderId="0" xfId="0" applyFont="1" applyProtection="1">
      <protection hidden="1"/>
    </xf>
    <xf numFmtId="0" fontId="92" fillId="0" borderId="0" xfId="0" applyFont="1" applyProtection="1">
      <protection hidden="1"/>
    </xf>
    <xf numFmtId="0" fontId="93" fillId="0" borderId="0" xfId="0" applyFont="1" applyProtection="1">
      <protection hidden="1"/>
    </xf>
    <xf numFmtId="0" fontId="93" fillId="0" borderId="1" xfId="0" applyFont="1" applyBorder="1" applyAlignment="1" applyProtection="1">
      <alignment horizontal="center" vertical="center"/>
      <protection hidden="1"/>
    </xf>
    <xf numFmtId="0" fontId="92" fillId="0" borderId="1" xfId="0" applyFont="1" applyBorder="1" applyProtection="1">
      <protection hidden="1"/>
    </xf>
    <xf numFmtId="0" fontId="93" fillId="0" borderId="1" xfId="0" applyFont="1" applyBorder="1" applyProtection="1">
      <protection hidden="1"/>
    </xf>
    <xf numFmtId="0" fontId="93" fillId="0" borderId="0" xfId="0" applyFont="1" applyBorder="1" applyProtection="1">
      <protection hidden="1"/>
    </xf>
    <xf numFmtId="0" fontId="92" fillId="0" borderId="0" xfId="0" applyFont="1" applyBorder="1" applyProtection="1">
      <protection hidden="1"/>
    </xf>
    <xf numFmtId="0" fontId="102" fillId="0" borderId="0" xfId="1394" applyFont="1" applyBorder="1" applyAlignment="1" applyProtection="1">
      <alignment horizontal="left"/>
      <protection hidden="1"/>
    </xf>
    <xf numFmtId="0" fontId="102" fillId="0" borderId="1" xfId="1394" applyFont="1" applyBorder="1" applyAlignment="1" applyProtection="1">
      <alignment horizontal="center" vertical="center"/>
      <protection hidden="1"/>
    </xf>
    <xf numFmtId="0" fontId="103" fillId="0" borderId="1" xfId="1394" applyFont="1" applyBorder="1" applyProtection="1">
      <protection hidden="1"/>
    </xf>
    <xf numFmtId="0" fontId="106" fillId="0" borderId="1" xfId="0" applyFont="1" applyBorder="1" applyAlignment="1" applyProtection="1">
      <alignment horizontal="left" vertical="center"/>
      <protection hidden="1"/>
    </xf>
    <xf numFmtId="0" fontId="106" fillId="0" borderId="1" xfId="0" applyFont="1" applyBorder="1" applyAlignment="1" applyProtection="1">
      <alignment horizontal="right" vertical="center"/>
      <protection hidden="1"/>
    </xf>
    <xf numFmtId="0" fontId="106" fillId="0" borderId="1" xfId="0" applyFont="1" applyBorder="1" applyAlignment="1" applyProtection="1">
      <alignment horizontal="left" vertical="center" wrapText="1"/>
      <protection hidden="1"/>
    </xf>
    <xf numFmtId="0" fontId="108" fillId="0" borderId="1" xfId="0" applyFont="1" applyBorder="1" applyAlignment="1" applyProtection="1">
      <alignment horizontal="left" vertical="center" wrapText="1"/>
      <protection hidden="1"/>
    </xf>
    <xf numFmtId="0" fontId="103" fillId="0" borderId="1" xfId="1394" applyFont="1" applyFill="1" applyBorder="1" applyProtection="1">
      <protection hidden="1"/>
    </xf>
    <xf numFmtId="0" fontId="103" fillId="0" borderId="1" xfId="1394" applyFont="1" applyBorder="1" applyAlignment="1" applyProtection="1">
      <alignment wrapText="1"/>
      <protection hidden="1"/>
    </xf>
    <xf numFmtId="0" fontId="106" fillId="0" borderId="0" xfId="0" applyFont="1" applyProtection="1">
      <protection hidden="1"/>
    </xf>
    <xf numFmtId="0" fontId="102" fillId="0" borderId="1" xfId="1394" applyFont="1" applyBorder="1" applyProtection="1">
      <protection hidden="1"/>
    </xf>
    <xf numFmtId="0" fontId="107" fillId="0" borderId="1" xfId="1394" applyFont="1" applyBorder="1" applyProtection="1">
      <protection hidden="1"/>
    </xf>
    <xf numFmtId="0" fontId="107" fillId="0" borderId="1" xfId="1394" applyFont="1" applyBorder="1" applyAlignment="1" applyProtection="1">
      <alignment horizontal="center"/>
      <protection hidden="1"/>
    </xf>
    <xf numFmtId="0" fontId="94" fillId="0" borderId="0" xfId="0" applyFont="1" applyProtection="1">
      <protection hidden="1"/>
    </xf>
    <xf numFmtId="0" fontId="103" fillId="0" borderId="0" xfId="1394" applyFont="1" applyBorder="1" applyAlignment="1" applyProtection="1">
      <alignment horizontal="center"/>
      <protection hidden="1"/>
    </xf>
    <xf numFmtId="0" fontId="93" fillId="0" borderId="1" xfId="0" applyFont="1" applyBorder="1" applyAlignment="1" applyProtection="1">
      <alignment horizontal="right"/>
      <protection hidden="1"/>
    </xf>
    <xf numFmtId="0" fontId="94" fillId="0" borderId="1" xfId="0" applyFont="1" applyBorder="1" applyAlignment="1" applyProtection="1">
      <alignment horizontal="left" vertical="center"/>
      <protection hidden="1"/>
    </xf>
    <xf numFmtId="0" fontId="94" fillId="0" borderId="55" xfId="0" applyFont="1" applyBorder="1" applyProtection="1">
      <protection hidden="1"/>
    </xf>
    <xf numFmtId="0" fontId="94" fillId="0" borderId="1" xfId="0" applyFont="1" applyBorder="1" applyProtection="1">
      <protection hidden="1"/>
    </xf>
    <xf numFmtId="3" fontId="92" fillId="0" borderId="1" xfId="0" applyNumberFormat="1" applyFont="1" applyBorder="1" applyProtection="1">
      <protection hidden="1"/>
    </xf>
    <xf numFmtId="172" fontId="92" fillId="0" borderId="1" xfId="0" applyNumberFormat="1" applyFont="1" applyBorder="1" applyProtection="1">
      <protection hidden="1"/>
    </xf>
    <xf numFmtId="3" fontId="93" fillId="0" borderId="1" xfId="0" applyNumberFormat="1" applyFont="1" applyBorder="1" applyProtection="1">
      <protection hidden="1"/>
    </xf>
    <xf numFmtId="4" fontId="92" fillId="0" borderId="1" xfId="0" applyNumberFormat="1" applyFont="1" applyBorder="1" applyProtection="1">
      <protection hidden="1"/>
    </xf>
    <xf numFmtId="164" fontId="92" fillId="0" borderId="1" xfId="0" applyNumberFormat="1" applyFont="1" applyBorder="1" applyProtection="1">
      <protection hidden="1"/>
    </xf>
    <xf numFmtId="4" fontId="93" fillId="0" borderId="1" xfId="0" applyNumberFormat="1" applyFont="1" applyBorder="1" applyProtection="1">
      <protection hidden="1"/>
    </xf>
    <xf numFmtId="4" fontId="93" fillId="0" borderId="0" xfId="0" applyNumberFormat="1" applyFont="1" applyBorder="1" applyProtection="1">
      <protection hidden="1"/>
    </xf>
    <xf numFmtId="0" fontId="104" fillId="0" borderId="0" xfId="1390" applyFont="1" applyProtection="1">
      <protection hidden="1"/>
    </xf>
    <xf numFmtId="0" fontId="93" fillId="0" borderId="0" xfId="1390" applyFont="1" applyProtection="1">
      <protection hidden="1"/>
    </xf>
    <xf numFmtId="0" fontId="93" fillId="0" borderId="1" xfId="0" applyFont="1" applyBorder="1" applyAlignment="1" applyProtection="1">
      <alignment horizontal="right" vertical="center"/>
      <protection hidden="1"/>
    </xf>
    <xf numFmtId="49" fontId="93" fillId="0" borderId="1" xfId="0" applyNumberFormat="1" applyFont="1" applyBorder="1" applyAlignment="1" applyProtection="1">
      <alignment horizontal="center" vertical="center" wrapText="1"/>
      <protection hidden="1"/>
    </xf>
    <xf numFmtId="2" fontId="92" fillId="0" borderId="0" xfId="1390" applyNumberFormat="1" applyFont="1" applyProtection="1">
      <protection hidden="1"/>
    </xf>
    <xf numFmtId="0" fontId="92" fillId="0" borderId="1" xfId="0" applyFont="1" applyBorder="1" applyAlignment="1" applyProtection="1">
      <alignment horizontal="left" vertical="center"/>
      <protection hidden="1"/>
    </xf>
    <xf numFmtId="0" fontId="92" fillId="0" borderId="1" xfId="0" applyFont="1" applyBorder="1" applyAlignment="1" applyProtection="1">
      <alignment horizontal="right" vertical="center"/>
      <protection hidden="1"/>
    </xf>
    <xf numFmtId="0" fontId="93" fillId="0" borderId="1" xfId="0" applyFont="1" applyBorder="1" applyAlignment="1" applyProtection="1">
      <alignment horizontal="left" vertical="center"/>
      <protection hidden="1"/>
    </xf>
    <xf numFmtId="0" fontId="94" fillId="0" borderId="1" xfId="0" applyFont="1" applyBorder="1" applyAlignment="1" applyProtection="1">
      <alignment horizontal="right" vertical="center"/>
      <protection hidden="1"/>
    </xf>
    <xf numFmtId="0" fontId="93" fillId="0" borderId="53" xfId="0" applyFont="1" applyBorder="1" applyAlignment="1" applyProtection="1">
      <alignment horizontal="center" vertical="center"/>
      <protection hidden="1"/>
    </xf>
    <xf numFmtId="0" fontId="93" fillId="0" borderId="53" xfId="0" applyFont="1" applyBorder="1" applyAlignment="1" applyProtection="1">
      <alignment horizontal="center" vertical="center" wrapText="1"/>
      <protection hidden="1"/>
    </xf>
    <xf numFmtId="0" fontId="93" fillId="0" borderId="4" xfId="0" applyFont="1" applyBorder="1" applyAlignment="1" applyProtection="1">
      <alignment horizontal="center" vertical="center"/>
      <protection hidden="1"/>
    </xf>
    <xf numFmtId="0" fontId="93" fillId="0" borderId="54" xfId="0" applyFont="1" applyBorder="1" applyAlignment="1" applyProtection="1">
      <alignment horizontal="center" vertical="center"/>
      <protection hidden="1"/>
    </xf>
    <xf numFmtId="0" fontId="93" fillId="0" borderId="55" xfId="0" applyFont="1" applyBorder="1" applyAlignment="1" applyProtection="1">
      <alignment horizontal="center" vertical="center"/>
      <protection hidden="1"/>
    </xf>
    <xf numFmtId="0" fontId="93" fillId="0" borderId="3" xfId="0" applyFont="1" applyBorder="1" applyAlignment="1" applyProtection="1">
      <alignment horizontal="center" vertical="center"/>
      <protection hidden="1"/>
    </xf>
    <xf numFmtId="0" fontId="93" fillId="0" borderId="3" xfId="0" applyFont="1" applyBorder="1" applyAlignment="1" applyProtection="1">
      <alignment horizontal="center" vertical="center" wrapText="1"/>
      <protection hidden="1"/>
    </xf>
    <xf numFmtId="0" fontId="92" fillId="0" borderId="53" xfId="0" applyFont="1" applyBorder="1" applyAlignment="1" applyProtection="1">
      <alignment horizontal="left" vertical="top"/>
      <protection hidden="1"/>
    </xf>
    <xf numFmtId="0" fontId="92" fillId="0" borderId="3" xfId="0" applyFont="1" applyBorder="1" applyAlignment="1" applyProtection="1">
      <alignment horizontal="left" vertical="top"/>
      <protection hidden="1"/>
    </xf>
    <xf numFmtId="0" fontId="93" fillId="0" borderId="1" xfId="0" applyFont="1" applyBorder="1" applyAlignment="1" applyProtection="1">
      <alignment horizontal="center" vertical="center" wrapText="1"/>
      <protection hidden="1"/>
    </xf>
    <xf numFmtId="0" fontId="93" fillId="0" borderId="1" xfId="0" applyFont="1" applyBorder="1" applyAlignment="1" applyProtection="1">
      <alignment horizontal="center" vertical="center" wrapText="1"/>
      <protection hidden="1"/>
    </xf>
    <xf numFmtId="0" fontId="105" fillId="0" borderId="0" xfId="1285" applyFont="1" applyAlignment="1" applyProtection="1">
      <alignment horizontal="center" vertical="center"/>
      <protection hidden="1"/>
    </xf>
    <xf numFmtId="0" fontId="105" fillId="0" borderId="0" xfId="1285" applyFont="1" applyProtection="1">
      <protection hidden="1"/>
    </xf>
    <xf numFmtId="0" fontId="92" fillId="0" borderId="1" xfId="0" applyFont="1" applyBorder="1" applyAlignment="1" applyProtection="1">
      <alignment horizontal="center" vertical="center" wrapText="1"/>
      <protection hidden="1"/>
    </xf>
    <xf numFmtId="49" fontId="102" fillId="0" borderId="1" xfId="0" applyNumberFormat="1" applyFont="1" applyBorder="1" applyAlignment="1" applyProtection="1">
      <alignment horizontal="center" vertical="center" wrapText="1"/>
      <protection hidden="1"/>
    </xf>
    <xf numFmtId="4" fontId="92" fillId="0" borderId="1" xfId="0" applyNumberFormat="1" applyFont="1" applyBorder="1" applyAlignment="1" applyProtection="1">
      <alignment horizontal="center" vertical="center" wrapText="1"/>
      <protection hidden="1"/>
    </xf>
    <xf numFmtId="4" fontId="92" fillId="0" borderId="1" xfId="0" applyNumberFormat="1" applyFont="1" applyBorder="1" applyAlignment="1" applyProtection="1">
      <alignment horizontal="center"/>
      <protection hidden="1"/>
    </xf>
    <xf numFmtId="0" fontId="93" fillId="0" borderId="0" xfId="1393" applyFont="1" applyProtection="1">
      <protection hidden="1"/>
    </xf>
    <xf numFmtId="0" fontId="93" fillId="0" borderId="1" xfId="1393" applyFont="1" applyBorder="1" applyAlignment="1" applyProtection="1">
      <alignment horizontal="center" vertical="center" wrapText="1"/>
      <protection hidden="1"/>
    </xf>
    <xf numFmtId="49" fontId="92" fillId="0" borderId="1" xfId="1393" applyNumberFormat="1" applyFont="1" applyBorder="1" applyAlignment="1" applyProtection="1">
      <alignment horizontal="center" vertical="center"/>
      <protection hidden="1"/>
    </xf>
    <xf numFmtId="4" fontId="92" fillId="0" borderId="1" xfId="1393" applyNumberFormat="1" applyFont="1" applyBorder="1" applyAlignment="1" applyProtection="1">
      <alignment horizontal="right" vertical="center"/>
      <protection hidden="1"/>
    </xf>
    <xf numFmtId="4" fontId="92" fillId="0" borderId="1" xfId="0" applyNumberFormat="1" applyFont="1" applyBorder="1" applyAlignment="1" applyProtection="1">
      <alignment horizontal="right"/>
      <protection hidden="1"/>
    </xf>
    <xf numFmtId="0" fontId="93" fillId="0" borderId="1" xfId="0" applyFont="1" applyBorder="1" applyAlignment="1" applyProtection="1">
      <alignment vertical="center"/>
      <protection hidden="1"/>
    </xf>
    <xf numFmtId="4" fontId="93" fillId="0" borderId="1" xfId="0" applyNumberFormat="1" applyFont="1" applyBorder="1" applyAlignment="1" applyProtection="1">
      <alignment horizontal="right" vertical="center"/>
      <protection hidden="1"/>
    </xf>
    <xf numFmtId="0" fontId="99" fillId="0" borderId="0" xfId="0" applyFont="1" applyProtection="1">
      <protection hidden="1"/>
    </xf>
    <xf numFmtId="0" fontId="35" fillId="0" borderId="0" xfId="7" applyFont="1" applyFill="1" applyAlignment="1" applyProtection="1">
      <alignment horizontal="right"/>
      <protection hidden="1"/>
    </xf>
    <xf numFmtId="49" fontId="36" fillId="0" borderId="0" xfId="7" applyNumberFormat="1" applyFont="1" applyFill="1" applyAlignment="1" applyProtection="1">
      <alignment horizontal="center"/>
      <protection hidden="1"/>
    </xf>
    <xf numFmtId="0" fontId="34" fillId="0" borderId="0" xfId="6" applyFont="1" applyAlignment="1" applyProtection="1">
      <alignment vertical="top" wrapText="1"/>
      <protection hidden="1"/>
    </xf>
    <xf numFmtId="0" fontId="35" fillId="0" borderId="0" xfId="7" applyFont="1" applyFill="1" applyProtection="1">
      <protection hidden="1"/>
    </xf>
    <xf numFmtId="0" fontId="95" fillId="0" borderId="0" xfId="7" applyFont="1" applyFill="1" applyProtection="1">
      <protection hidden="1"/>
    </xf>
    <xf numFmtId="0" fontId="37" fillId="0" borderId="0" xfId="7" applyFont="1" applyFill="1" applyBorder="1" applyAlignment="1" applyProtection="1">
      <alignment wrapText="1"/>
      <protection hidden="1"/>
    </xf>
    <xf numFmtId="0" fontId="35" fillId="40" borderId="1" xfId="7" applyFont="1" applyFill="1" applyBorder="1" applyAlignment="1" applyProtection="1">
      <alignment horizontal="right"/>
      <protection hidden="1"/>
    </xf>
    <xf numFmtId="0" fontId="11" fillId="0" borderId="1" xfId="0" applyFont="1" applyBorder="1" applyProtection="1">
      <protection hidden="1"/>
    </xf>
    <xf numFmtId="0" fontId="35" fillId="0" borderId="1" xfId="7" applyFont="1" applyFill="1" applyBorder="1" applyProtection="1"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1" fillId="3" borderId="1" xfId="0" applyFont="1" applyFill="1" applyBorder="1" applyProtection="1">
      <protection hidden="1"/>
    </xf>
    <xf numFmtId="0" fontId="35" fillId="0" borderId="1" xfId="7" applyFont="1" applyFill="1" applyBorder="1" applyAlignment="1" applyProtection="1">
      <alignment horizontal="right"/>
      <protection hidden="1"/>
    </xf>
    <xf numFmtId="0" fontId="35" fillId="41" borderId="1" xfId="7" applyFont="1" applyFill="1" applyBorder="1" applyAlignment="1" applyProtection="1">
      <alignment horizontal="right"/>
      <protection hidden="1"/>
    </xf>
    <xf numFmtId="0" fontId="35" fillId="42" borderId="1" xfId="7" applyFont="1" applyFill="1" applyBorder="1" applyProtection="1">
      <protection hidden="1"/>
    </xf>
    <xf numFmtId="0" fontId="91" fillId="0" borderId="1" xfId="1285" applyFont="1" applyFill="1" applyBorder="1" applyAlignment="1" applyProtection="1">
      <alignment horizontal="right"/>
      <protection hidden="1"/>
    </xf>
    <xf numFmtId="0" fontId="91" fillId="41" borderId="1" xfId="1285" applyFont="1" applyFill="1" applyBorder="1" applyAlignment="1" applyProtection="1">
      <alignment horizontal="right"/>
      <protection hidden="1"/>
    </xf>
    <xf numFmtId="0" fontId="91" fillId="0" borderId="1" xfId="1285" applyFont="1" applyFill="1" applyBorder="1" applyProtection="1">
      <protection hidden="1"/>
    </xf>
    <xf numFmtId="0" fontId="96" fillId="0" borderId="1" xfId="1285" applyFont="1" applyFill="1" applyBorder="1" applyProtection="1">
      <protection hidden="1"/>
    </xf>
    <xf numFmtId="0" fontId="35" fillId="0" borderId="0" xfId="7" applyFont="1" applyFill="1" applyBorder="1" applyAlignment="1" applyProtection="1">
      <alignment horizontal="right"/>
      <protection hidden="1"/>
    </xf>
    <xf numFmtId="0" fontId="35" fillId="0" borderId="0" xfId="7" applyFont="1" applyFill="1" applyBorder="1" applyProtection="1">
      <protection hidden="1"/>
    </xf>
    <xf numFmtId="0" fontId="97" fillId="0" borderId="0" xfId="7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2" fillId="3" borderId="1" xfId="0" applyFont="1" applyFill="1" applyBorder="1" applyProtection="1">
      <protection hidden="1"/>
    </xf>
    <xf numFmtId="4" fontId="9" fillId="0" borderId="1" xfId="0" applyNumberFormat="1" applyFont="1" applyBorder="1" applyProtection="1">
      <protection hidden="1"/>
    </xf>
    <xf numFmtId="4" fontId="9" fillId="8" borderId="1" xfId="0" applyNumberFormat="1" applyFont="1" applyFill="1" applyBorder="1" applyProtection="1">
      <protection hidden="1"/>
    </xf>
    <xf numFmtId="4" fontId="9" fillId="2" borderId="1" xfId="0" applyNumberFormat="1" applyFont="1" applyFill="1" applyBorder="1" applyProtection="1">
      <protection hidden="1"/>
    </xf>
    <xf numFmtId="4" fontId="9" fillId="0" borderId="1" xfId="0" applyNumberFormat="1" applyFont="1" applyFill="1" applyBorder="1" applyProtection="1">
      <protection hidden="1"/>
    </xf>
    <xf numFmtId="0" fontId="11" fillId="0" borderId="1" xfId="0" applyFont="1" applyBorder="1" applyAlignment="1" applyProtection="1">
      <alignment horizontal="right"/>
      <protection hidden="1"/>
    </xf>
    <xf numFmtId="4" fontId="11" fillId="2" borderId="1" xfId="0" applyNumberFormat="1" applyFont="1" applyFill="1" applyBorder="1" applyProtection="1">
      <protection hidden="1"/>
    </xf>
    <xf numFmtId="4" fontId="11" fillId="8" borderId="1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12" fillId="0" borderId="1" xfId="0" applyFont="1" applyBorder="1" applyAlignment="1" applyProtection="1">
      <alignment wrapText="1"/>
      <protection hidden="1"/>
    </xf>
    <xf numFmtId="4" fontId="12" fillId="0" borderId="1" xfId="0" applyNumberFormat="1" applyFont="1" applyBorder="1" applyAlignment="1" applyProtection="1">
      <alignment wrapText="1"/>
      <protection hidden="1"/>
    </xf>
    <xf numFmtId="4" fontId="12" fillId="0" borderId="1" xfId="0" applyNumberFormat="1" applyFont="1" applyBorder="1" applyProtection="1">
      <protection hidden="1"/>
    </xf>
    <xf numFmtId="4" fontId="9" fillId="0" borderId="0" xfId="0" applyNumberFormat="1" applyFont="1" applyProtection="1">
      <protection hidden="1"/>
    </xf>
    <xf numFmtId="0" fontId="26" fillId="0" borderId="1" xfId="0" applyFont="1" applyFill="1" applyBorder="1" applyProtection="1">
      <protection hidden="1"/>
    </xf>
    <xf numFmtId="4" fontId="26" fillId="0" borderId="1" xfId="0" applyNumberFormat="1" applyFont="1" applyBorder="1" applyProtection="1">
      <protection hidden="1"/>
    </xf>
    <xf numFmtId="4" fontId="26" fillId="2" borderId="1" xfId="0" applyNumberFormat="1" applyFont="1" applyFill="1" applyBorder="1" applyProtection="1">
      <protection hidden="1"/>
    </xf>
    <xf numFmtId="4" fontId="26" fillId="0" borderId="1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3" fontId="9" fillId="0" borderId="1" xfId="0" applyNumberFormat="1" applyFont="1" applyFill="1" applyBorder="1" applyProtection="1">
      <protection hidden="1"/>
    </xf>
    <xf numFmtId="0" fontId="9" fillId="0" borderId="1" xfId="0" applyFont="1" applyFill="1" applyBorder="1" applyProtection="1">
      <protection hidden="1"/>
    </xf>
    <xf numFmtId="3" fontId="11" fillId="0" borderId="1" xfId="0" applyNumberFormat="1" applyFont="1" applyFill="1" applyBorder="1" applyProtection="1">
      <protection hidden="1"/>
    </xf>
    <xf numFmtId="3" fontId="11" fillId="0" borderId="1" xfId="0" applyNumberFormat="1" applyFont="1" applyBorder="1" applyProtection="1">
      <protection hidden="1"/>
    </xf>
    <xf numFmtId="0" fontId="12" fillId="0" borderId="1" xfId="0" applyFont="1" applyFill="1" applyBorder="1" applyProtection="1">
      <protection hidden="1"/>
    </xf>
    <xf numFmtId="3" fontId="12" fillId="0" borderId="1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3" fontId="12" fillId="0" borderId="0" xfId="0" applyNumberFormat="1" applyFont="1" applyFill="1" applyBorder="1" applyProtection="1">
      <protection hidden="1"/>
    </xf>
    <xf numFmtId="169" fontId="12" fillId="0" borderId="0" xfId="0" applyNumberFormat="1" applyFont="1" applyFill="1" applyBorder="1" applyProtection="1"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justify" vertical="center"/>
      <protection hidden="1"/>
    </xf>
    <xf numFmtId="0" fontId="23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23" fillId="0" borderId="0" xfId="0" applyFont="1" applyFill="1" applyAlignment="1" applyProtection="1">
      <alignment horizontal="lef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1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left"/>
      <protection hidden="1"/>
    </xf>
    <xf numFmtId="0" fontId="12" fillId="3" borderId="1" xfId="0" applyFont="1" applyFill="1" applyBorder="1" applyAlignment="1" applyProtection="1">
      <alignment horizontal="center" wrapText="1"/>
      <protection hidden="1"/>
    </xf>
    <xf numFmtId="0" fontId="12" fillId="3" borderId="4" xfId="0" applyFont="1" applyFill="1" applyBorder="1" applyAlignment="1" applyProtection="1">
      <alignment horizontal="center" wrapText="1"/>
      <protection hidden="1"/>
    </xf>
    <xf numFmtId="0" fontId="12" fillId="3" borderId="6" xfId="0" applyFont="1" applyFill="1" applyBorder="1" applyAlignment="1" applyProtection="1">
      <alignment horizontal="center" wrapText="1"/>
      <protection hidden="1"/>
    </xf>
    <xf numFmtId="0" fontId="12" fillId="3" borderId="7" xfId="0" applyFont="1" applyFill="1" applyBorder="1" applyAlignment="1" applyProtection="1">
      <alignment horizontal="center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1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/>
      <protection hidden="1"/>
    </xf>
    <xf numFmtId="3" fontId="9" fillId="5" borderId="6" xfId="0" applyNumberFormat="1" applyFont="1" applyFill="1" applyBorder="1" applyProtection="1">
      <protection hidden="1"/>
    </xf>
    <xf numFmtId="3" fontId="9" fillId="7" borderId="7" xfId="0" applyNumberFormat="1" applyFont="1" applyFill="1" applyBorder="1" applyProtection="1">
      <protection hidden="1"/>
    </xf>
    <xf numFmtId="9" fontId="9" fillId="0" borderId="4" xfId="2" applyFont="1" applyBorder="1" applyAlignment="1" applyProtection="1">
      <alignment horizontal="center"/>
      <protection hidden="1"/>
    </xf>
    <xf numFmtId="3" fontId="9" fillId="0" borderId="0" xfId="0" applyNumberFormat="1" applyFont="1" applyProtection="1">
      <protection hidden="1"/>
    </xf>
    <xf numFmtId="0" fontId="9" fillId="0" borderId="4" xfId="0" applyFont="1" applyBorder="1" applyProtection="1">
      <protection hidden="1"/>
    </xf>
    <xf numFmtId="3" fontId="12" fillId="5" borderId="5" xfId="0" applyNumberFormat="1" applyFont="1" applyFill="1" applyBorder="1" applyProtection="1">
      <protection hidden="1"/>
    </xf>
    <xf numFmtId="3" fontId="12" fillId="7" borderId="5" xfId="0" applyNumberFormat="1" applyFont="1" applyFill="1" applyBorder="1" applyProtection="1"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9" fillId="0" borderId="1" xfId="6" applyFont="1" applyFill="1" applyBorder="1" applyProtection="1">
      <protection hidden="1"/>
    </xf>
    <xf numFmtId="3" fontId="12" fillId="65" borderId="1" xfId="6" applyNumberFormat="1" applyFont="1" applyFill="1" applyBorder="1" applyProtection="1">
      <protection hidden="1"/>
    </xf>
    <xf numFmtId="0" fontId="9" fillId="3" borderId="1" xfId="0" applyFont="1" applyFill="1" applyBorder="1" applyProtection="1">
      <protection hidden="1"/>
    </xf>
    <xf numFmtId="3" fontId="9" fillId="0" borderId="1" xfId="0" applyNumberFormat="1" applyFont="1" applyBorder="1" applyProtection="1">
      <protection hidden="1"/>
    </xf>
    <xf numFmtId="3" fontId="9" fillId="2" borderId="1" xfId="0" applyNumberFormat="1" applyFont="1" applyFill="1" applyBorder="1" applyProtection="1">
      <protection hidden="1"/>
    </xf>
    <xf numFmtId="3" fontId="12" fillId="0" borderId="1" xfId="0" applyNumberFormat="1" applyFont="1" applyBorder="1" applyProtection="1">
      <protection hidden="1"/>
    </xf>
    <xf numFmtId="0" fontId="12" fillId="0" borderId="2" xfId="0" applyFont="1" applyFill="1" applyBorder="1" applyProtection="1">
      <protection hidden="1"/>
    </xf>
    <xf numFmtId="3" fontId="12" fillId="0" borderId="2" xfId="0" applyNumberFormat="1" applyFont="1" applyBorder="1" applyProtection="1">
      <protection hidden="1"/>
    </xf>
    <xf numFmtId="0" fontId="12" fillId="0" borderId="3" xfId="0" applyFont="1" applyBorder="1" applyProtection="1">
      <protection hidden="1"/>
    </xf>
    <xf numFmtId="3" fontId="12" fillId="0" borderId="3" xfId="0" applyNumberFormat="1" applyFont="1" applyBorder="1" applyProtection="1">
      <protection hidden="1"/>
    </xf>
    <xf numFmtId="170" fontId="9" fillId="8" borderId="0" xfId="5" applyNumberFormat="1" applyFont="1" applyFill="1" applyProtection="1">
      <protection hidden="1"/>
    </xf>
    <xf numFmtId="3" fontId="9" fillId="8" borderId="1" xfId="0" applyNumberFormat="1" applyFont="1" applyFill="1" applyBorder="1" applyProtection="1">
      <protection hidden="1"/>
    </xf>
    <xf numFmtId="0" fontId="12" fillId="5" borderId="1" xfId="0" applyFont="1" applyFill="1" applyBorder="1" applyProtection="1">
      <protection hidden="1"/>
    </xf>
    <xf numFmtId="0" fontId="9" fillId="5" borderId="1" xfId="0" applyFont="1" applyFill="1" applyBorder="1" applyProtection="1">
      <protection hidden="1"/>
    </xf>
    <xf numFmtId="170" fontId="9" fillId="0" borderId="0" xfId="0" applyNumberFormat="1" applyFont="1" applyProtection="1"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3" fontId="9" fillId="4" borderId="1" xfId="0" applyNumberFormat="1" applyFont="1" applyFill="1" applyBorder="1" applyProtection="1">
      <protection hidden="1"/>
    </xf>
    <xf numFmtId="0" fontId="9" fillId="0" borderId="2" xfId="0" applyFont="1" applyBorder="1" applyProtection="1">
      <protection hidden="1"/>
    </xf>
    <xf numFmtId="3" fontId="9" fillId="4" borderId="2" xfId="0" applyNumberFormat="1" applyFont="1" applyFill="1" applyBorder="1" applyProtection="1">
      <protection hidden="1"/>
    </xf>
    <xf numFmtId="3" fontId="9" fillId="2" borderId="2" xfId="0" applyNumberFormat="1" applyFont="1" applyFill="1" applyBorder="1" applyProtection="1">
      <protection hidden="1"/>
    </xf>
    <xf numFmtId="3" fontId="12" fillId="4" borderId="3" xfId="0" applyNumberFormat="1" applyFont="1" applyFill="1" applyBorder="1" applyProtection="1">
      <protection hidden="1"/>
    </xf>
    <xf numFmtId="164" fontId="9" fillId="5" borderId="1" xfId="0" applyNumberFormat="1" applyFont="1" applyFill="1" applyBorder="1" applyProtection="1">
      <protection hidden="1"/>
    </xf>
    <xf numFmtId="10" fontId="9" fillId="5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9" fillId="0" borderId="1" xfId="1220" applyFont="1" applyBorder="1" applyAlignment="1" applyProtection="1">
      <protection hidden="1"/>
    </xf>
    <xf numFmtId="0" fontId="12" fillId="0" borderId="1" xfId="1220" applyFont="1" applyBorder="1" applyAlignment="1" applyProtection="1">
      <protection hidden="1"/>
    </xf>
    <xf numFmtId="0" fontId="12" fillId="3" borderId="1" xfId="1220" applyFont="1" applyFill="1" applyBorder="1" applyAlignment="1" applyProtection="1">
      <protection hidden="1"/>
    </xf>
    <xf numFmtId="0" fontId="9" fillId="3" borderId="1" xfId="1220" applyFont="1" applyFill="1" applyBorder="1" applyAlignment="1" applyProtection="1">
      <protection hidden="1"/>
    </xf>
    <xf numFmtId="164" fontId="9" fillId="0" borderId="1" xfId="1220" applyNumberFormat="1" applyFont="1" applyBorder="1" applyAlignment="1" applyProtection="1">
      <protection hidden="1"/>
    </xf>
    <xf numFmtId="0" fontId="9" fillId="0" borderId="2" xfId="1220" applyFont="1" applyFill="1" applyBorder="1" applyAlignment="1" applyProtection="1">
      <protection hidden="1"/>
    </xf>
    <xf numFmtId="164" fontId="9" fillId="0" borderId="2" xfId="1220" applyNumberFormat="1" applyFont="1" applyBorder="1" applyAlignment="1" applyProtection="1">
      <protection hidden="1"/>
    </xf>
    <xf numFmtId="0" fontId="9" fillId="0" borderId="3" xfId="1220" applyFont="1" applyBorder="1" applyAlignment="1" applyProtection="1">
      <protection hidden="1"/>
    </xf>
    <xf numFmtId="164" fontId="9" fillId="0" borderId="3" xfId="1220" applyNumberFormat="1" applyFont="1" applyBorder="1" applyAlignment="1" applyProtection="1">
      <protection hidden="1"/>
    </xf>
    <xf numFmtId="0" fontId="9" fillId="0" borderId="52" xfId="1220" applyFont="1" applyFill="1" applyBorder="1" applyAlignment="1" applyProtection="1">
      <protection hidden="1"/>
    </xf>
    <xf numFmtId="0" fontId="12" fillId="0" borderId="0" xfId="1220" applyFont="1" applyAlignment="1" applyProtection="1">
      <protection hidden="1"/>
    </xf>
    <xf numFmtId="0" fontId="8" fillId="0" borderId="0" xfId="1220" applyProtection="1">
      <protection hidden="1"/>
    </xf>
    <xf numFmtId="3" fontId="9" fillId="0" borderId="1" xfId="1220" applyNumberFormat="1" applyFont="1" applyBorder="1" applyAlignment="1" applyProtection="1">
      <protection hidden="1"/>
    </xf>
    <xf numFmtId="3" fontId="12" fillId="7" borderId="4" xfId="1220" applyNumberFormat="1" applyFont="1" applyFill="1" applyBorder="1" applyAlignment="1" applyProtection="1">
      <protection hidden="1"/>
    </xf>
    <xf numFmtId="164" fontId="12" fillId="7" borderId="1" xfId="1220" applyNumberFormat="1" applyFont="1" applyFill="1" applyBorder="1" applyAlignment="1" applyProtection="1">
      <protection hidden="1"/>
    </xf>
    <xf numFmtId="0" fontId="12" fillId="0" borderId="0" xfId="1245" applyFont="1" applyProtection="1">
      <protection hidden="1"/>
    </xf>
    <xf numFmtId="0" fontId="9" fillId="0" borderId="1" xfId="1245" applyFont="1" applyBorder="1" applyProtection="1">
      <protection hidden="1"/>
    </xf>
    <xf numFmtId="0" fontId="12" fillId="0" borderId="1" xfId="1245" applyFont="1" applyBorder="1" applyProtection="1">
      <protection hidden="1"/>
    </xf>
    <xf numFmtId="0" fontId="11" fillId="0" borderId="1" xfId="1245" applyFont="1" applyBorder="1" applyProtection="1">
      <protection hidden="1"/>
    </xf>
    <xf numFmtId="0" fontId="12" fillId="3" borderId="1" xfId="1245" applyFont="1" applyFill="1" applyBorder="1" applyProtection="1">
      <protection hidden="1"/>
    </xf>
    <xf numFmtId="2" fontId="12" fillId="3" borderId="1" xfId="1245" applyNumberFormat="1" applyFont="1" applyFill="1" applyBorder="1" applyAlignment="1" applyProtection="1">
      <alignment horizontal="center" wrapText="1"/>
      <protection hidden="1"/>
    </xf>
    <xf numFmtId="0" fontId="11" fillId="3" borderId="1" xfId="1245" applyFont="1" applyFill="1" applyBorder="1" applyProtection="1">
      <protection hidden="1"/>
    </xf>
    <xf numFmtId="164" fontId="9" fillId="0" borderId="1" xfId="1245" applyNumberFormat="1" applyFont="1" applyBorder="1" applyProtection="1">
      <protection hidden="1"/>
    </xf>
    <xf numFmtId="164" fontId="9" fillId="0" borderId="1" xfId="1245" applyNumberFormat="1" applyFont="1" applyFill="1" applyBorder="1" applyProtection="1">
      <protection hidden="1"/>
    </xf>
    <xf numFmtId="164" fontId="12" fillId="0" borderId="1" xfId="1245" applyNumberFormat="1" applyFont="1" applyBorder="1" applyProtection="1">
      <protection hidden="1"/>
    </xf>
    <xf numFmtId="164" fontId="12" fillId="0" borderId="1" xfId="1245" applyNumberFormat="1" applyFont="1" applyFill="1" applyBorder="1" applyProtection="1">
      <protection hidden="1"/>
    </xf>
    <xf numFmtId="0" fontId="12" fillId="5" borderId="1" xfId="1245" applyFont="1" applyFill="1" applyBorder="1" applyProtection="1">
      <protection hidden="1"/>
    </xf>
    <xf numFmtId="164" fontId="12" fillId="5" borderId="1" xfId="1245" applyNumberFormat="1" applyFont="1" applyFill="1" applyBorder="1" applyProtection="1">
      <protection hidden="1"/>
    </xf>
    <xf numFmtId="0" fontId="9" fillId="0" borderId="0" xfId="1245" applyFont="1" applyProtection="1">
      <protection hidden="1"/>
    </xf>
    <xf numFmtId="0" fontId="9" fillId="0" borderId="4" xfId="1245" applyFont="1" applyBorder="1" applyProtection="1">
      <protection hidden="1"/>
    </xf>
    <xf numFmtId="164" fontId="9" fillId="5" borderId="1" xfId="1245" applyNumberFormat="1" applyFont="1" applyFill="1" applyBorder="1" applyProtection="1">
      <protection hidden="1"/>
    </xf>
    <xf numFmtId="10" fontId="9" fillId="5" borderId="1" xfId="1245" applyNumberFormat="1" applyFont="1" applyFill="1" applyBorder="1" applyProtection="1">
      <protection hidden="1"/>
    </xf>
    <xf numFmtId="171" fontId="9" fillId="5" borderId="1" xfId="1245" applyNumberFormat="1" applyFont="1" applyFill="1" applyBorder="1" applyProtection="1"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Protection="1">
      <protection hidden="1"/>
    </xf>
    <xf numFmtId="3" fontId="37" fillId="0" borderId="1" xfId="0" applyNumberFormat="1" applyFont="1" applyBorder="1" applyProtection="1">
      <protection hidden="1"/>
    </xf>
    <xf numFmtId="10" fontId="37" fillId="0" borderId="1" xfId="0" applyNumberFormat="1" applyFont="1" applyBorder="1" applyProtection="1">
      <protection hidden="1"/>
    </xf>
    <xf numFmtId="0" fontId="35" fillId="0" borderId="1" xfId="0" applyFont="1" applyBorder="1" applyProtection="1">
      <protection hidden="1"/>
    </xf>
    <xf numFmtId="3" fontId="35" fillId="0" borderId="1" xfId="0" applyNumberFormat="1" applyFont="1" applyBorder="1" applyProtection="1">
      <protection hidden="1"/>
    </xf>
    <xf numFmtId="10" fontId="35" fillId="0" borderId="1" xfId="0" applyNumberFormat="1" applyFont="1" applyBorder="1" applyProtection="1">
      <protection hidden="1"/>
    </xf>
    <xf numFmtId="0" fontId="30" fillId="8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40" fillId="0" borderId="0" xfId="3" applyFont="1" applyAlignment="1" applyProtection="1">
      <alignment horizontal="center"/>
      <protection hidden="1"/>
    </xf>
    <xf numFmtId="0" fontId="41" fillId="0" borderId="14" xfId="3" applyFont="1" applyBorder="1" applyAlignment="1" applyProtection="1">
      <alignment horizontal="center"/>
      <protection hidden="1"/>
    </xf>
    <xf numFmtId="0" fontId="42" fillId="0" borderId="47" xfId="3" applyFont="1" applyBorder="1" applyAlignment="1" applyProtection="1">
      <alignment horizontal="right"/>
      <protection hidden="1"/>
    </xf>
    <xf numFmtId="0" fontId="43" fillId="0" borderId="10" xfId="3" applyFont="1" applyBorder="1" applyAlignment="1" applyProtection="1">
      <alignment horizontal="right"/>
      <protection hidden="1"/>
    </xf>
    <xf numFmtId="0" fontId="42" fillId="0" borderId="10" xfId="3" applyFont="1" applyBorder="1" applyAlignment="1" applyProtection="1">
      <alignment horizontal="right" vertical="center"/>
      <protection hidden="1"/>
    </xf>
    <xf numFmtId="0" fontId="42" fillId="0" borderId="10" xfId="3" applyFont="1" applyBorder="1" applyAlignment="1" applyProtection="1">
      <alignment horizontal="right"/>
      <protection hidden="1"/>
    </xf>
    <xf numFmtId="0" fontId="42" fillId="0" borderId="41" xfId="3" applyFon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42" fillId="0" borderId="48" xfId="3" applyFont="1" applyBorder="1" applyAlignment="1" applyProtection="1">
      <alignment horizontal="right"/>
      <protection hidden="1"/>
    </xf>
    <xf numFmtId="0" fontId="89" fillId="0" borderId="27" xfId="9" applyFont="1" applyBorder="1" applyAlignment="1" applyProtection="1">
      <alignment horizontal="center"/>
      <protection hidden="1"/>
    </xf>
    <xf numFmtId="0" fontId="89" fillId="0" borderId="0" xfId="9" applyFont="1" applyBorder="1" applyAlignment="1" applyProtection="1">
      <alignment horizontal="center"/>
      <protection hidden="1"/>
    </xf>
    <xf numFmtId="0" fontId="89" fillId="0" borderId="12" xfId="9" applyFont="1" applyBorder="1" applyAlignment="1" applyProtection="1">
      <alignment horizontal="center"/>
      <protection hidden="1"/>
    </xf>
    <xf numFmtId="0" fontId="42" fillId="0" borderId="49" xfId="3" applyFont="1" applyBorder="1" applyAlignment="1" applyProtection="1">
      <alignment horizontal="center"/>
      <protection hidden="1"/>
    </xf>
    <xf numFmtId="0" fontId="88" fillId="0" borderId="28" xfId="9" applyFont="1" applyBorder="1" applyAlignment="1" applyProtection="1">
      <alignment horizontal="center"/>
      <protection hidden="1"/>
    </xf>
    <xf numFmtId="0" fontId="88" fillId="0" borderId="25" xfId="9" applyFont="1" applyBorder="1" applyAlignment="1" applyProtection="1">
      <alignment horizontal="center"/>
      <protection hidden="1"/>
    </xf>
    <xf numFmtId="0" fontId="88" fillId="0" borderId="39" xfId="9" applyFont="1" applyBorder="1" applyAlignment="1" applyProtection="1">
      <alignment horizontal="center"/>
      <protection hidden="1"/>
    </xf>
    <xf numFmtId="0" fontId="42" fillId="0" borderId="50" xfId="3" applyFont="1" applyBorder="1" applyAlignment="1" applyProtection="1">
      <alignment horizontal="center"/>
      <protection hidden="1"/>
    </xf>
    <xf numFmtId="0" fontId="42" fillId="0" borderId="0" xfId="3" applyFont="1" applyBorder="1" applyAlignment="1" applyProtection="1">
      <alignment horizontal="center" vertical="center"/>
      <protection hidden="1"/>
    </xf>
    <xf numFmtId="0" fontId="42" fillId="0" borderId="0" xfId="3" applyFont="1" applyBorder="1" applyAlignment="1" applyProtection="1">
      <alignment horizontal="center"/>
      <protection hidden="1"/>
    </xf>
    <xf numFmtId="0" fontId="42" fillId="0" borderId="26" xfId="3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8" fillId="0" borderId="50" xfId="9" applyFont="1" applyBorder="1" applyProtection="1">
      <protection hidden="1"/>
    </xf>
    <xf numFmtId="165" fontId="89" fillId="8" borderId="27" xfId="9" applyNumberFormat="1" applyFont="1" applyFill="1" applyBorder="1" applyAlignment="1" applyProtection="1">
      <alignment horizontal="center"/>
      <protection hidden="1"/>
    </xf>
    <xf numFmtId="165" fontId="89" fillId="8" borderId="0" xfId="9" applyNumberFormat="1" applyFont="1" applyFill="1" applyBorder="1" applyAlignment="1" applyProtection="1">
      <alignment horizontal="center"/>
      <protection hidden="1"/>
    </xf>
    <xf numFmtId="2" fontId="89" fillId="8" borderId="0" xfId="9" applyNumberFormat="1" applyFont="1" applyFill="1" applyBorder="1" applyAlignment="1" applyProtection="1">
      <alignment horizontal="center"/>
      <protection hidden="1"/>
    </xf>
    <xf numFmtId="165" fontId="89" fillId="8" borderId="12" xfId="9" applyNumberFormat="1" applyFont="1" applyFill="1" applyBorder="1" applyAlignment="1" applyProtection="1">
      <alignment horizontal="center"/>
      <protection hidden="1"/>
    </xf>
    <xf numFmtId="0" fontId="38" fillId="0" borderId="50" xfId="9" applyFont="1" applyFill="1" applyBorder="1" applyAlignment="1" applyProtection="1">
      <protection hidden="1"/>
    </xf>
    <xf numFmtId="0" fontId="38" fillId="0" borderId="50" xfId="9" applyFont="1" applyFill="1" applyBorder="1" applyProtection="1">
      <protection hidden="1"/>
    </xf>
    <xf numFmtId="0" fontId="38" fillId="0" borderId="51" xfId="9" applyFont="1" applyFill="1" applyBorder="1" applyAlignment="1" applyProtection="1">
      <protection hidden="1"/>
    </xf>
    <xf numFmtId="165" fontId="89" fillId="8" borderId="40" xfId="9" applyNumberFormat="1" applyFont="1" applyFill="1" applyBorder="1" applyAlignment="1" applyProtection="1">
      <alignment horizontal="center"/>
      <protection hidden="1"/>
    </xf>
    <xf numFmtId="165" fontId="89" fillId="8" borderId="14" xfId="9" applyNumberFormat="1" applyFont="1" applyFill="1" applyBorder="1" applyAlignment="1" applyProtection="1">
      <alignment horizontal="center"/>
      <protection hidden="1"/>
    </xf>
    <xf numFmtId="165" fontId="89" fillId="8" borderId="15" xfId="9" applyNumberFormat="1" applyFont="1" applyFill="1" applyBorder="1" applyAlignment="1" applyProtection="1">
      <alignment horizontal="center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Protection="1">
      <protection hidden="1"/>
    </xf>
    <xf numFmtId="3" fontId="0" fillId="0" borderId="1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100" fillId="0" borderId="1" xfId="1285" applyFont="1" applyBorder="1" applyProtection="1">
      <protection hidden="1"/>
    </xf>
    <xf numFmtId="0" fontId="100" fillId="0" borderId="1" xfId="1285" applyFont="1" applyBorder="1" applyAlignment="1" applyProtection="1">
      <alignment horizontal="right" vertical="center"/>
      <protection hidden="1"/>
    </xf>
  </cellXfs>
  <cellStyles count="1395">
    <cellStyle name="_x000a_386grabber=S" xfId="15"/>
    <cellStyle name="_x000a_386grabber=S 10" xfId="1090"/>
    <cellStyle name="_x000a_386grabber=S 2" xfId="25"/>
    <cellStyle name="_x000a_386grabber=S 2 2" xfId="66"/>
    <cellStyle name="_x000a_386grabber=S 3" xfId="59"/>
    <cellStyle name="_x000a_386grabber=S 4" xfId="206"/>
    <cellStyle name="_x000a_386grabber=S 5" xfId="244"/>
    <cellStyle name="_x000a_386grabber=S 6" xfId="218"/>
    <cellStyle name="_x000a_386grabber=S 7" xfId="666"/>
    <cellStyle name="_x000a_386grabber=S 8" xfId="672"/>
    <cellStyle name="_x000a_386grabber=S 9" xfId="1092"/>
    <cellStyle name="=D:\WINNT\SYSTEM32\COMMAND.COM" xfId="16"/>
    <cellStyle name="=D:\WINNT\SYSTEM32\COMMAND.COM 10" xfId="1097"/>
    <cellStyle name="=D:\WINNT\SYSTEM32\COMMAND.COM 2" xfId="24"/>
    <cellStyle name="=D:\WINNT\SYSTEM32\COMMAND.COM 2 2" xfId="65"/>
    <cellStyle name="=D:\WINNT\SYSTEM32\COMMAND.COM 3" xfId="60"/>
    <cellStyle name="=D:\WINNT\SYSTEM32\COMMAND.COM 4" xfId="207"/>
    <cellStyle name="=D:\WINNT\SYSTEM32\COMMAND.COM 5" xfId="230"/>
    <cellStyle name="=D:\WINNT\SYSTEM32\COMMAND.COM 6" xfId="205"/>
    <cellStyle name="=D:\WINNT\SYSTEM32\COMMAND.COM 7" xfId="667"/>
    <cellStyle name="=D:\WINNT\SYSTEM32\COMMAND.COM 8" xfId="665"/>
    <cellStyle name="=D:\WINNT\SYSTEM32\COMMAND.COM 9" xfId="1093"/>
    <cellStyle name="20 % - zvýraznenie1 2" xfId="1179"/>
    <cellStyle name="20 % - zvýraznenie2 2" xfId="1183"/>
    <cellStyle name="20 % - zvýraznenie3 2" xfId="1187"/>
    <cellStyle name="20 % - zvýraznenie4 2" xfId="1191"/>
    <cellStyle name="20 % - zvýraznenie5 2" xfId="1195"/>
    <cellStyle name="20 % - zvýraznenie6 2" xfId="1199"/>
    <cellStyle name="20% - Accent1" xfId="1294"/>
    <cellStyle name="20% - Accent2" xfId="1258"/>
    <cellStyle name="20% - Accent3" xfId="1243"/>
    <cellStyle name="20% - Accent4" xfId="1281"/>
    <cellStyle name="20% - Accent5" xfId="1267"/>
    <cellStyle name="20% - Accent6" xfId="1368"/>
    <cellStyle name="40 % - zvýraznenie1 2" xfId="1180"/>
    <cellStyle name="40 % - zvýraznenie2 2" xfId="1184"/>
    <cellStyle name="40 % - zvýraznenie3 2" xfId="1188"/>
    <cellStyle name="40 % - zvýraznenie4 2" xfId="1192"/>
    <cellStyle name="40 % - zvýraznenie5 2" xfId="1196"/>
    <cellStyle name="40 % - zvýraznenie6 2" xfId="1200"/>
    <cellStyle name="40% - Accent1" xfId="1247"/>
    <cellStyle name="40% - Accent2" xfId="1263"/>
    <cellStyle name="40% - Accent3" xfId="1251"/>
    <cellStyle name="40% - Accent4" xfId="1257"/>
    <cellStyle name="40% - Accent5" xfId="1227"/>
    <cellStyle name="40% - Accent6" xfId="1261"/>
    <cellStyle name="60 % - zvýraznenie1 2" xfId="1181"/>
    <cellStyle name="60 % - zvýraznenie2 2" xfId="1185"/>
    <cellStyle name="60 % - zvýraznenie3 2" xfId="1189"/>
    <cellStyle name="60 % - zvýraznenie4 2" xfId="1193"/>
    <cellStyle name="60 % - zvýraznenie5 2" xfId="1197"/>
    <cellStyle name="60 % - zvýraznenie6 2" xfId="1201"/>
    <cellStyle name="60% - Accent1" xfId="1291"/>
    <cellStyle name="60% - Accent2" xfId="1271"/>
    <cellStyle name="60% - Accent3" xfId="1228"/>
    <cellStyle name="60% - Accent4" xfId="1367"/>
    <cellStyle name="60% - Accent5" xfId="1226"/>
    <cellStyle name="60% - Accent6" xfId="1290"/>
    <cellStyle name="Accent1" xfId="1265"/>
    <cellStyle name="Accent2" xfId="1284"/>
    <cellStyle name="Accent3" xfId="1244"/>
    <cellStyle name="Accent4" xfId="1242"/>
    <cellStyle name="Accent5" xfId="1270"/>
    <cellStyle name="Accent6" xfId="1279"/>
    <cellStyle name="Bad" xfId="1289"/>
    <cellStyle name="Calculation" xfId="1266"/>
    <cellStyle name="Calculation 2" xfId="1380"/>
    <cellStyle name="Comma_gdp" xfId="12"/>
    <cellStyle name="Čiarka" xfId="5" builtinId="3"/>
    <cellStyle name="Čiarka 2" xfId="11"/>
    <cellStyle name="Čiarka 3" xfId="1297"/>
    <cellStyle name="čiarky 2" xfId="35"/>
    <cellStyle name="čiarky 2 10" xfId="1045"/>
    <cellStyle name="čiarky 2 11" xfId="1066"/>
    <cellStyle name="čiarky 2 2" xfId="73"/>
    <cellStyle name="čiarky 2 3" xfId="999"/>
    <cellStyle name="čiarky 2 4" xfId="1067"/>
    <cellStyle name="čiarky 2 5" xfId="1029"/>
    <cellStyle name="čiarky 2 6" xfId="1056"/>
    <cellStyle name="čiarky 2 7" xfId="1011"/>
    <cellStyle name="čiarky 2 8" xfId="1041"/>
    <cellStyle name="čiarky 2 9" xfId="1021"/>
    <cellStyle name="čiarky 3" xfId="57"/>
    <cellStyle name="čiarky 4" xfId="84"/>
    <cellStyle name="čiarky 5" xfId="123"/>
    <cellStyle name="čiarky 6" xfId="1300"/>
    <cellStyle name="Date" xfId="657"/>
    <cellStyle name="Dobrá 2" xfId="1167"/>
    <cellStyle name="Explanatory Text" xfId="1285"/>
    <cellStyle name="Good" xfId="1230"/>
    <cellStyle name="Heading 1" xfId="1262"/>
    <cellStyle name="Heading 2" xfId="1268"/>
    <cellStyle name="Heading 3" xfId="1260"/>
    <cellStyle name="Heading 4" xfId="1269"/>
    <cellStyle name="Hypertextové prepojenie" xfId="1390" builtinId="8"/>
    <cellStyle name="Hypertextové prepojenie 2" xfId="21"/>
    <cellStyle name="Check Cell" xfId="1238"/>
    <cellStyle name="Input" xfId="1249"/>
    <cellStyle name="Input 2" xfId="1378"/>
    <cellStyle name="Kontrolná bunka 2" xfId="1174"/>
    <cellStyle name="Linked Cell" xfId="1253"/>
    <cellStyle name="Nadpis 1 2" xfId="1163"/>
    <cellStyle name="Nadpis 2 2" xfId="1164"/>
    <cellStyle name="Nadpis 3 2" xfId="1165"/>
    <cellStyle name="Nadpis 4 2" xfId="1166"/>
    <cellStyle name="Neutral" xfId="1293"/>
    <cellStyle name="Neutrálna 2" xfId="1169"/>
    <cellStyle name="Normal 10" xfId="4"/>
    <cellStyle name="Normal 2" xfId="658"/>
    <cellStyle name="Normal 2 2 2" xfId="6"/>
    <cellStyle name="Normal 2 3" xfId="1389"/>
    <cellStyle name="Normal 9" xfId="7"/>
    <cellStyle name="Normal_1.1" xfId="195"/>
    <cellStyle name="Normálna" xfId="0" builtinId="0"/>
    <cellStyle name="Normálna 10" xfId="1394"/>
    <cellStyle name="Normálna 10 2 2" xfId="1379"/>
    <cellStyle name="Normálna 11" xfId="1384"/>
    <cellStyle name="Normálna 15" xfId="1381"/>
    <cellStyle name="Normálna 2" xfId="3"/>
    <cellStyle name="Normálna 2 2" xfId="1220"/>
    <cellStyle name="Normálna 2 3" xfId="1239"/>
    <cellStyle name="Normálna 2 4" xfId="10"/>
    <cellStyle name="Normálna 2 5" xfId="1391"/>
    <cellStyle name="Normálna 3" xfId="1221"/>
    <cellStyle name="Normálna 3 7" xfId="8"/>
    <cellStyle name="Normálna 4" xfId="1224"/>
    <cellStyle name="Normálna 5" xfId="1371"/>
    <cellStyle name="Normálna 6" xfId="1375"/>
    <cellStyle name="Normálna 7" xfId="9"/>
    <cellStyle name="Normálna 8" xfId="1392"/>
    <cellStyle name="Normálna 9" xfId="1393"/>
    <cellStyle name="normálne 10" xfId="43"/>
    <cellStyle name="normálne 10 2" xfId="1277"/>
    <cellStyle name="normálne 11" xfId="56"/>
    <cellStyle name="normálne 11 10" xfId="1040"/>
    <cellStyle name="normálne 11 11" xfId="1027"/>
    <cellStyle name="normálne 11 12" xfId="695"/>
    <cellStyle name="normálne 11 12 2" xfId="1326"/>
    <cellStyle name="normálne 11 13" xfId="1091"/>
    <cellStyle name="normálne 11 13 2" xfId="1352"/>
    <cellStyle name="normálne 11 14" xfId="1108"/>
    <cellStyle name="normálne 11 14 2" xfId="1353"/>
    <cellStyle name="normálne 11 15" xfId="1115"/>
    <cellStyle name="normálne 11 15 2" xfId="1354"/>
    <cellStyle name="normálne 11 16" xfId="1122"/>
    <cellStyle name="normálne 11 16 2" xfId="1355"/>
    <cellStyle name="normálne 11 17" xfId="1129"/>
    <cellStyle name="normálne 11 17 2" xfId="1356"/>
    <cellStyle name="normálne 11 18" xfId="1136"/>
    <cellStyle name="normálne 11 18 2" xfId="1357"/>
    <cellStyle name="normálne 11 19" xfId="1142"/>
    <cellStyle name="normálne 11 19 2" xfId="1358"/>
    <cellStyle name="normálne 11 2" xfId="663"/>
    <cellStyle name="normálne 11 2 2" xfId="694"/>
    <cellStyle name="normálne 11 2 3" xfId="931"/>
    <cellStyle name="normálne 11 2 4" xfId="1322"/>
    <cellStyle name="normálne 11 20" xfId="1148"/>
    <cellStyle name="normálne 11 20 2" xfId="1359"/>
    <cellStyle name="normálne 11 21" xfId="1154"/>
    <cellStyle name="normálne 11 21 2" xfId="1360"/>
    <cellStyle name="normálne 11 22" xfId="1160"/>
    <cellStyle name="normálne 11 22 2" xfId="1361"/>
    <cellStyle name="normálne 11 23" xfId="1233"/>
    <cellStyle name="normálne 11 3" xfId="1005"/>
    <cellStyle name="normálne 11 4" xfId="1012"/>
    <cellStyle name="normálne 11 5" xfId="1055"/>
    <cellStyle name="normálne 11 6" xfId="1035"/>
    <cellStyle name="normálne 11 7" xfId="1061"/>
    <cellStyle name="normálne 11 8" xfId="997"/>
    <cellStyle name="normálne 11 9" xfId="1051"/>
    <cellStyle name="normálne 12" xfId="83"/>
    <cellStyle name="normálne 12 2" xfId="1274"/>
    <cellStyle name="normálne 13" xfId="82"/>
    <cellStyle name="normálne 13 2" xfId="159"/>
    <cellStyle name="normálne 13 2 2" xfId="339"/>
    <cellStyle name="normálne 13 2 3" xfId="476"/>
    <cellStyle name="normálne 13 2 4" xfId="616"/>
    <cellStyle name="normálne 13 2 5" xfId="782"/>
    <cellStyle name="normálne 13 2 6" xfId="885"/>
    <cellStyle name="normálne 13 3" xfId="264"/>
    <cellStyle name="normálne 13 4" xfId="403"/>
    <cellStyle name="normálne 13 5" xfId="545"/>
    <cellStyle name="normálne 13 6" xfId="709"/>
    <cellStyle name="normálne 13 7" xfId="956"/>
    <cellStyle name="normálne 13 8" xfId="1264"/>
    <cellStyle name="normálne 14" xfId="120"/>
    <cellStyle name="normálne 14 2" xfId="194"/>
    <cellStyle name="normálne 14 2 2" xfId="374"/>
    <cellStyle name="normálne 14 2 3" xfId="511"/>
    <cellStyle name="normálne 14 2 4" xfId="651"/>
    <cellStyle name="normálne 14 2 5" xfId="817"/>
    <cellStyle name="normálne 14 2 6" xfId="935"/>
    <cellStyle name="normálne 14 3" xfId="301"/>
    <cellStyle name="normálne 14 4" xfId="439"/>
    <cellStyle name="normálne 14 5" xfId="580"/>
    <cellStyle name="normálne 14 6" xfId="745"/>
    <cellStyle name="normálne 14 7" xfId="863"/>
    <cellStyle name="normálne 14 8" xfId="1254"/>
    <cellStyle name="normálne 15" xfId="122"/>
    <cellStyle name="normálne 15 2" xfId="1231"/>
    <cellStyle name="normálne 16" xfId="121"/>
    <cellStyle name="normálne 16 2" xfId="302"/>
    <cellStyle name="normálne 16 3" xfId="440"/>
    <cellStyle name="normálne 16 4" xfId="581"/>
    <cellStyle name="normálne 16 5" xfId="746"/>
    <cellStyle name="normálne 16 6" xfId="985"/>
    <cellStyle name="normálne 16 7" xfId="1248"/>
    <cellStyle name="normálne 17" xfId="196"/>
    <cellStyle name="normálne 17 2" xfId="375"/>
    <cellStyle name="normálne 17 3" xfId="512"/>
    <cellStyle name="normálne 17 4" xfId="652"/>
    <cellStyle name="normálne 17 5" xfId="818"/>
    <cellStyle name="normálne 17 6" xfId="941"/>
    <cellStyle name="normálne 17 7" xfId="1255"/>
    <cellStyle name="normálne 18" xfId="197"/>
    <cellStyle name="normálne 18 2" xfId="1295"/>
    <cellStyle name="normálne 19" xfId="200"/>
    <cellStyle name="normálne 19 2" xfId="378"/>
    <cellStyle name="normálne 19 2 2" xfId="1313"/>
    <cellStyle name="normálne 19 3" xfId="515"/>
    <cellStyle name="normálne 19 3 2" xfId="1318"/>
    <cellStyle name="normálne 19 4" xfId="654"/>
    <cellStyle name="normálne 19 4 2" xfId="1320"/>
    <cellStyle name="normálne 19 5" xfId="821"/>
    <cellStyle name="normálne 19 5 2" xfId="1327"/>
    <cellStyle name="normálne 19 6" xfId="918"/>
    <cellStyle name="normálne 19 6 2" xfId="1345"/>
    <cellStyle name="normálne 19 7" xfId="1304"/>
    <cellStyle name="normálne 19 8" xfId="1246"/>
    <cellStyle name="normálne 2" xfId="1"/>
    <cellStyle name="normálne 2 10" xfId="988"/>
    <cellStyle name="normálne 2 11" xfId="998"/>
    <cellStyle name="normálne 2 12" xfId="1036"/>
    <cellStyle name="normálne 2 13" xfId="1048"/>
    <cellStyle name="normálne 2 14" xfId="1003"/>
    <cellStyle name="normálne 2 15" xfId="1038"/>
    <cellStyle name="normálne 2 16" xfId="1026"/>
    <cellStyle name="normálne 2 17" xfId="989"/>
    <cellStyle name="normálne 2 18" xfId="1081"/>
    <cellStyle name="normálne 2 19" xfId="1094"/>
    <cellStyle name="normálne 2 2" xfId="22"/>
    <cellStyle name="normálne 2 2 10" xfId="1062"/>
    <cellStyle name="normálne 2 2 11" xfId="1060"/>
    <cellStyle name="normálne 2 2 12" xfId="1047"/>
    <cellStyle name="normálne 2 2 13" xfId="1039"/>
    <cellStyle name="normálne 2 2 14" xfId="1016"/>
    <cellStyle name="normálne 2 2 15" xfId="827"/>
    <cellStyle name="normálne 2 2 2" xfId="63"/>
    <cellStyle name="normálne 2 2 3" xfId="211"/>
    <cellStyle name="normálne 2 2 4" xfId="259"/>
    <cellStyle name="normálne 2 2 5" xfId="387"/>
    <cellStyle name="normálne 2 2 6" xfId="671"/>
    <cellStyle name="normálne 2 2 6 2" xfId="991"/>
    <cellStyle name="normálne 2 2 6 3" xfId="1084"/>
    <cellStyle name="normálne 2 2 7" xfId="990"/>
    <cellStyle name="normálne 2 2 8" xfId="1001"/>
    <cellStyle name="normálne 2 2 9" xfId="1057"/>
    <cellStyle name="normálne 2 20" xfId="1100"/>
    <cellStyle name="normálne 2 21" xfId="1245"/>
    <cellStyle name="normálne 2 22" xfId="20"/>
    <cellStyle name="normálne 2 3" xfId="29"/>
    <cellStyle name="normálne 2 4" xfId="38"/>
    <cellStyle name="normálne 2 4 10" xfId="861"/>
    <cellStyle name="normálne 2 4 2" xfId="52"/>
    <cellStyle name="normálne 2 4 2 2" xfId="104"/>
    <cellStyle name="normálne 2 4 2 2 2" xfId="178"/>
    <cellStyle name="normálne 2 4 2 2 2 2" xfId="358"/>
    <cellStyle name="normálne 2 4 2 2 2 3" xfId="495"/>
    <cellStyle name="normálne 2 4 2 2 2 4" xfId="635"/>
    <cellStyle name="normálne 2 4 2 2 2 5" xfId="801"/>
    <cellStyle name="normálne 2 4 2 2 2 6" xfId="949"/>
    <cellStyle name="normálne 2 4 2 2 3" xfId="285"/>
    <cellStyle name="normálne 2 4 2 2 4" xfId="423"/>
    <cellStyle name="normálne 2 4 2 2 5" xfId="564"/>
    <cellStyle name="normálne 2 4 2 2 6" xfId="729"/>
    <cellStyle name="normálne 2 4 2 2 7" xfId="914"/>
    <cellStyle name="normálne 2 4 2 3" xfId="143"/>
    <cellStyle name="normálne 2 4 2 3 2" xfId="323"/>
    <cellStyle name="normálne 2 4 2 3 3" xfId="460"/>
    <cellStyle name="normálne 2 4 2 3 4" xfId="600"/>
    <cellStyle name="normálne 2 4 2 3 5" xfId="766"/>
    <cellStyle name="normálne 2 4 2 3 6" xfId="899"/>
    <cellStyle name="normálne 2 4 2 4" xfId="238"/>
    <cellStyle name="normálne 2 4 2 5" xfId="383"/>
    <cellStyle name="normálne 2 4 2 6" xfId="529"/>
    <cellStyle name="normálne 2 4 2 7" xfId="690"/>
    <cellStyle name="normálne 2 4 2 8" xfId="953"/>
    <cellStyle name="normálne 2 4 3" xfId="76"/>
    <cellStyle name="normálne 2 4 3 2" xfId="115"/>
    <cellStyle name="normálne 2 4 3 2 2" xfId="189"/>
    <cellStyle name="normálne 2 4 3 2 2 2" xfId="369"/>
    <cellStyle name="normálne 2 4 3 2 2 3" xfId="506"/>
    <cellStyle name="normálne 2 4 3 2 2 4" xfId="646"/>
    <cellStyle name="normálne 2 4 3 2 2 5" xfId="812"/>
    <cellStyle name="normálne 2 4 3 2 2 6" xfId="876"/>
    <cellStyle name="normálne 2 4 3 2 3" xfId="296"/>
    <cellStyle name="normálne 2 4 3 2 4" xfId="434"/>
    <cellStyle name="normálne 2 4 3 2 5" xfId="575"/>
    <cellStyle name="normálne 2 4 3 2 6" xfId="740"/>
    <cellStyle name="normálne 2 4 3 2 7" xfId="971"/>
    <cellStyle name="normálne 2 4 3 3" xfId="154"/>
    <cellStyle name="normálne 2 4 3 3 2" xfId="334"/>
    <cellStyle name="normálne 2 4 3 3 3" xfId="471"/>
    <cellStyle name="normálne 2 4 3 3 4" xfId="611"/>
    <cellStyle name="normálne 2 4 3 3 5" xfId="777"/>
    <cellStyle name="normálne 2 4 3 3 6" xfId="955"/>
    <cellStyle name="normálne 2 4 3 4" xfId="258"/>
    <cellStyle name="normálne 2 4 3 5" xfId="398"/>
    <cellStyle name="normálne 2 4 3 6" xfId="540"/>
    <cellStyle name="normálne 2 4 3 7" xfId="704"/>
    <cellStyle name="normálne 2 4 3 8" xfId="943"/>
    <cellStyle name="normálne 2 4 4" xfId="93"/>
    <cellStyle name="normálne 2 4 4 2" xfId="167"/>
    <cellStyle name="normálne 2 4 4 2 2" xfId="347"/>
    <cellStyle name="normálne 2 4 4 2 3" xfId="484"/>
    <cellStyle name="normálne 2 4 4 2 4" xfId="624"/>
    <cellStyle name="normálne 2 4 4 2 5" xfId="790"/>
    <cellStyle name="normálne 2 4 4 2 6" xfId="902"/>
    <cellStyle name="normálne 2 4 4 3" xfId="274"/>
    <cellStyle name="normálne 2 4 4 4" xfId="412"/>
    <cellStyle name="normálne 2 4 4 5" xfId="553"/>
    <cellStyle name="normálne 2 4 4 6" xfId="718"/>
    <cellStyle name="normálne 2 4 4 7" xfId="870"/>
    <cellStyle name="normálne 2 4 5" xfId="132"/>
    <cellStyle name="normálne 2 4 5 2" xfId="312"/>
    <cellStyle name="normálne 2 4 5 3" xfId="449"/>
    <cellStyle name="normálne 2 4 5 4" xfId="589"/>
    <cellStyle name="normálne 2 4 5 5" xfId="755"/>
    <cellStyle name="normálne 2 4 5 6" xfId="859"/>
    <cellStyle name="normálne 2 4 6" xfId="225"/>
    <cellStyle name="normálne 2 4 7" xfId="204"/>
    <cellStyle name="normálne 2 4 8" xfId="518"/>
    <cellStyle name="normálne 2 4 9" xfId="681"/>
    <cellStyle name="normálne 2 5" xfId="32"/>
    <cellStyle name="normálne 2 5 2" xfId="221"/>
    <cellStyle name="normálne 2 5 2 2" xfId="828"/>
    <cellStyle name="normálne 2 5 2 2 2" xfId="1330"/>
    <cellStyle name="normálne 2 5 2 3" xfId="893"/>
    <cellStyle name="normálne 2 5 2 3 2" xfId="1342"/>
    <cellStyle name="normálne 2 5 2 4" xfId="1308"/>
    <cellStyle name="normálne 2 5 3" xfId="303"/>
    <cellStyle name="normálne 2 5 3 2" xfId="864"/>
    <cellStyle name="normálne 2 5 3 2 2" xfId="1338"/>
    <cellStyle name="normálne 2 5 3 3" xfId="981"/>
    <cellStyle name="normálne 2 5 3 3 2" xfId="1350"/>
    <cellStyle name="normálne 2 5 3 4" xfId="1312"/>
    <cellStyle name="normálne 2 5 4" xfId="389"/>
    <cellStyle name="normálne 2 5 4 2" xfId="892"/>
    <cellStyle name="normálne 2 5 4 2 2" xfId="1341"/>
    <cellStyle name="normálne 2 5 4 3" xfId="976"/>
    <cellStyle name="normálne 2 5 4 3 2" xfId="1349"/>
    <cellStyle name="normálne 2 5 4 4" xfId="1315"/>
    <cellStyle name="normálne 2 5 5" xfId="678"/>
    <cellStyle name="normálne 2 5 5 2" xfId="1324"/>
    <cellStyle name="normálne 2 5 6" xfId="844"/>
    <cellStyle name="normálne 2 5 6 2" xfId="1334"/>
    <cellStyle name="normálne 2 5 7" xfId="1302"/>
    <cellStyle name="normálne 2 6" xfId="46"/>
    <cellStyle name="normálne 2 6 2" xfId="81"/>
    <cellStyle name="normálne 2 6 2 2" xfId="119"/>
    <cellStyle name="normálne 2 6 2 2 2" xfId="193"/>
    <cellStyle name="normálne 2 6 2 2 2 2" xfId="373"/>
    <cellStyle name="normálne 2 6 2 2 2 3" xfId="510"/>
    <cellStyle name="normálne 2 6 2 2 2 4" xfId="650"/>
    <cellStyle name="normálne 2 6 2 2 2 5" xfId="816"/>
    <cellStyle name="normálne 2 6 2 2 2 6" xfId="984"/>
    <cellStyle name="normálne 2 6 2 2 3" xfId="300"/>
    <cellStyle name="normálne 2 6 2 2 4" xfId="438"/>
    <cellStyle name="normálne 2 6 2 2 5" xfId="579"/>
    <cellStyle name="normálne 2 6 2 2 6" xfId="744"/>
    <cellStyle name="normálne 2 6 2 2 7" xfId="909"/>
    <cellStyle name="normálne 2 6 2 3" xfId="158"/>
    <cellStyle name="normálne 2 6 2 3 2" xfId="338"/>
    <cellStyle name="normálne 2 6 2 3 3" xfId="475"/>
    <cellStyle name="normálne 2 6 2 3 4" xfId="615"/>
    <cellStyle name="normálne 2 6 2 3 5" xfId="781"/>
    <cellStyle name="normálne 2 6 2 3 6" xfId="933"/>
    <cellStyle name="normálne 2 6 2 4" xfId="263"/>
    <cellStyle name="normálne 2 6 2 5" xfId="402"/>
    <cellStyle name="normálne 2 6 2 6" xfId="544"/>
    <cellStyle name="normálne 2 6 2 7" xfId="708"/>
    <cellStyle name="normálne 2 6 2 8" xfId="875"/>
    <cellStyle name="normálne 2 6 3" xfId="98"/>
    <cellStyle name="normálne 2 6 3 2" xfId="172"/>
    <cellStyle name="normálne 2 6 3 2 2" xfId="352"/>
    <cellStyle name="normálne 2 6 3 2 3" xfId="489"/>
    <cellStyle name="normálne 2 6 3 2 4" xfId="629"/>
    <cellStyle name="normálne 2 6 3 2 5" xfId="795"/>
    <cellStyle name="normálne 2 6 3 2 6" xfId="936"/>
    <cellStyle name="normálne 2 6 3 3" xfId="279"/>
    <cellStyle name="normálne 2 6 3 4" xfId="417"/>
    <cellStyle name="normálne 2 6 3 5" xfId="558"/>
    <cellStyle name="normálne 2 6 3 6" xfId="723"/>
    <cellStyle name="normálne 2 6 3 7" xfId="930"/>
    <cellStyle name="normálne 2 6 4" xfId="137"/>
    <cellStyle name="normálne 2 6 4 2" xfId="317"/>
    <cellStyle name="normálne 2 6 4 3" xfId="454"/>
    <cellStyle name="normálne 2 6 4 4" xfId="594"/>
    <cellStyle name="normálne 2 6 4 5" xfId="760"/>
    <cellStyle name="normálne 2 6 4 6" xfId="826"/>
    <cellStyle name="normálne 2 6 5" xfId="232"/>
    <cellStyle name="normálne 2 6 6" xfId="213"/>
    <cellStyle name="normálne 2 6 7" xfId="523"/>
    <cellStyle name="normálne 2 6 8" xfId="685"/>
    <cellStyle name="normálne 2 6 9" xfId="888"/>
    <cellStyle name="normálne 2 7" xfId="62"/>
    <cellStyle name="normálne 2 7 2" xfId="109"/>
    <cellStyle name="normálne 2 7 2 2" xfId="183"/>
    <cellStyle name="normálne 2 7 2 2 2" xfId="363"/>
    <cellStyle name="normálne 2 7 2 2 3" xfId="500"/>
    <cellStyle name="normálne 2 7 2 2 4" xfId="640"/>
    <cellStyle name="normálne 2 7 2 2 5" xfId="806"/>
    <cellStyle name="normálne 2 7 2 2 6" xfId="880"/>
    <cellStyle name="normálne 2 7 2 3" xfId="290"/>
    <cellStyle name="normálne 2 7 2 4" xfId="428"/>
    <cellStyle name="normálne 2 7 2 5" xfId="569"/>
    <cellStyle name="normálne 2 7 2 6" xfId="734"/>
    <cellStyle name="normálne 2 7 2 7" xfId="975"/>
    <cellStyle name="normálne 2 7 3" xfId="148"/>
    <cellStyle name="normálne 2 7 3 2" xfId="328"/>
    <cellStyle name="normálne 2 7 3 3" xfId="465"/>
    <cellStyle name="normálne 2 7 3 4" xfId="605"/>
    <cellStyle name="normálne 2 7 3 5" xfId="771"/>
    <cellStyle name="normálne 2 7 3 6" xfId="942"/>
    <cellStyle name="normálne 2 7 4" xfId="247"/>
    <cellStyle name="normálne 2 7 5" xfId="391"/>
    <cellStyle name="normálne 2 7 6" xfId="534"/>
    <cellStyle name="normálne 2 7 7" xfId="697"/>
    <cellStyle name="normálne 2 7 8" xfId="833"/>
    <cellStyle name="normálne 2 8" xfId="87"/>
    <cellStyle name="normálne 2 8 2" xfId="161"/>
    <cellStyle name="normálne 2 8 2 2" xfId="341"/>
    <cellStyle name="normálne 2 8 2 3" xfId="478"/>
    <cellStyle name="normálne 2 8 2 4" xfId="618"/>
    <cellStyle name="normálne 2 8 2 5" xfId="784"/>
    <cellStyle name="normálne 2 8 2 6" xfId="841"/>
    <cellStyle name="normálne 2 8 3" xfId="268"/>
    <cellStyle name="normálne 2 8 4" xfId="406"/>
    <cellStyle name="normálne 2 8 5" xfId="547"/>
    <cellStyle name="normálne 2 8 6" xfId="712"/>
    <cellStyle name="normálne 2 8 7" xfId="886"/>
    <cellStyle name="normálne 2 9" xfId="126"/>
    <cellStyle name="normálne 2 9 2" xfId="306"/>
    <cellStyle name="normálne 2 9 3" xfId="443"/>
    <cellStyle name="normálne 2 9 4" xfId="583"/>
    <cellStyle name="normálne 2 9 5" xfId="749"/>
    <cellStyle name="normálne 2 9 6" xfId="838"/>
    <cellStyle name="normálne 20" xfId="202"/>
    <cellStyle name="normálne 20 2" xfId="1306"/>
    <cellStyle name="normálne 20 3" xfId="1256"/>
    <cellStyle name="normálne 21" xfId="203"/>
    <cellStyle name="normálne 21 2" xfId="1235"/>
    <cellStyle name="normálne 22" xfId="210"/>
    <cellStyle name="normálne 22 2" xfId="1280"/>
    <cellStyle name="normálne 23" xfId="242"/>
    <cellStyle name="normálne 23 2" xfId="1237"/>
    <cellStyle name="normálne 24" xfId="656"/>
    <cellStyle name="normálne 24 2" xfId="702"/>
    <cellStyle name="normálne 24 3" xfId="925"/>
    <cellStyle name="normálne 24 4" xfId="1236"/>
    <cellStyle name="normálne 25" xfId="987"/>
    <cellStyle name="normálne 25 2" xfId="1250"/>
    <cellStyle name="normálne 26" xfId="1025"/>
    <cellStyle name="normálne 26 2" xfId="1282"/>
    <cellStyle name="normálne 27" xfId="1004"/>
    <cellStyle name="normálne 27 2" xfId="1229"/>
    <cellStyle name="normálne 28" xfId="1018"/>
    <cellStyle name="normálne 29" xfId="1022"/>
    <cellStyle name="normálne 3" xfId="26"/>
    <cellStyle name="normálne 3 10" xfId="404"/>
    <cellStyle name="normálne 3 11" xfId="659"/>
    <cellStyle name="normálne 3 11 2" xfId="993"/>
    <cellStyle name="normálne 3 11 3" xfId="1086"/>
    <cellStyle name="normálne 3 12" xfId="1014"/>
    <cellStyle name="normálne 3 13" xfId="1059"/>
    <cellStyle name="normálne 3 14" xfId="1074"/>
    <cellStyle name="normálne 3 15" xfId="1008"/>
    <cellStyle name="normálne 3 16" xfId="1049"/>
    <cellStyle name="normálne 3 17" xfId="1071"/>
    <cellStyle name="normálne 3 18" xfId="1013"/>
    <cellStyle name="normálne 3 19" xfId="1015"/>
    <cellStyle name="normálne 3 2" xfId="40"/>
    <cellStyle name="normálne 3 2 10" xfId="853"/>
    <cellStyle name="normálne 3 2 2" xfId="53"/>
    <cellStyle name="normálne 3 2 2 2" xfId="105"/>
    <cellStyle name="normálne 3 2 2 2 2" xfId="179"/>
    <cellStyle name="normálne 3 2 2 2 2 2" xfId="359"/>
    <cellStyle name="normálne 3 2 2 2 2 3" xfId="496"/>
    <cellStyle name="normálne 3 2 2 2 2 4" xfId="636"/>
    <cellStyle name="normálne 3 2 2 2 2 5" xfId="802"/>
    <cellStyle name="normálne 3 2 2 2 2 6" xfId="900"/>
    <cellStyle name="normálne 3 2 2 2 3" xfId="286"/>
    <cellStyle name="normálne 3 2 2 2 4" xfId="424"/>
    <cellStyle name="normálne 3 2 2 2 5" xfId="565"/>
    <cellStyle name="normálne 3 2 2 2 6" xfId="730"/>
    <cellStyle name="normálne 3 2 2 2 7" xfId="868"/>
    <cellStyle name="normálne 3 2 2 3" xfId="144"/>
    <cellStyle name="normálne 3 2 2 3 2" xfId="324"/>
    <cellStyle name="normálne 3 2 2 3 3" xfId="461"/>
    <cellStyle name="normálne 3 2 2 3 4" xfId="601"/>
    <cellStyle name="normálne 3 2 2 3 5" xfId="767"/>
    <cellStyle name="normálne 3 2 2 3 6" xfId="851"/>
    <cellStyle name="normálne 3 2 2 4" xfId="239"/>
    <cellStyle name="normálne 3 2 2 5" xfId="384"/>
    <cellStyle name="normálne 3 2 2 6" xfId="530"/>
    <cellStyle name="normálne 3 2 2 7" xfId="691"/>
    <cellStyle name="normálne 3 2 2 8" xfId="904"/>
    <cellStyle name="normálne 3 2 3" xfId="78"/>
    <cellStyle name="normálne 3 2 3 2" xfId="116"/>
    <cellStyle name="normálne 3 2 3 2 2" xfId="190"/>
    <cellStyle name="normálne 3 2 3 2 2 2" xfId="370"/>
    <cellStyle name="normálne 3 2 3 2 2 3" xfId="507"/>
    <cellStyle name="normálne 3 2 3 2 2 4" xfId="647"/>
    <cellStyle name="normálne 3 2 3 2 2 5" xfId="813"/>
    <cellStyle name="normálne 3 2 3 2 2 6" xfId="957"/>
    <cellStyle name="normálne 3 2 3 2 3" xfId="297"/>
    <cellStyle name="normálne 3 2 3 2 4" xfId="435"/>
    <cellStyle name="normálne 3 2 3 2 5" xfId="576"/>
    <cellStyle name="normálne 3 2 3 2 6" xfId="741"/>
    <cellStyle name="normálne 3 2 3 2 7" xfId="923"/>
    <cellStyle name="normálne 3 2 3 3" xfId="155"/>
    <cellStyle name="normálne 3 2 3 3 2" xfId="335"/>
    <cellStyle name="normálne 3 2 3 3 3" xfId="472"/>
    <cellStyle name="normálne 3 2 3 3 4" xfId="612"/>
    <cellStyle name="normálne 3 2 3 3 5" xfId="778"/>
    <cellStyle name="normálne 3 2 3 3 6" xfId="906"/>
    <cellStyle name="normálne 3 2 3 4" xfId="260"/>
    <cellStyle name="normálne 3 2 3 5" xfId="399"/>
    <cellStyle name="normálne 3 2 3 6" xfId="541"/>
    <cellStyle name="normálne 3 2 3 7" xfId="705"/>
    <cellStyle name="normálne 3 2 3 8" xfId="843"/>
    <cellStyle name="normálne 3 2 4" xfId="94"/>
    <cellStyle name="normálne 3 2 4 2" xfId="168"/>
    <cellStyle name="normálne 3 2 4 2 2" xfId="348"/>
    <cellStyle name="normálne 3 2 4 2 3" xfId="485"/>
    <cellStyle name="normálne 3 2 4 2 4" xfId="625"/>
    <cellStyle name="normálne 3 2 4 2 5" xfId="791"/>
    <cellStyle name="normálne 3 2 4 2 6" xfId="856"/>
    <cellStyle name="normálne 3 2 4 3" xfId="275"/>
    <cellStyle name="normálne 3 2 4 4" xfId="413"/>
    <cellStyle name="normálne 3 2 4 5" xfId="554"/>
    <cellStyle name="normálne 3 2 4 6" xfId="719"/>
    <cellStyle name="normálne 3 2 4 7" xfId="952"/>
    <cellStyle name="normálne 3 2 5" xfId="133"/>
    <cellStyle name="normálne 3 2 5 2" xfId="313"/>
    <cellStyle name="normálne 3 2 5 3" xfId="450"/>
    <cellStyle name="normálne 3 2 5 4" xfId="590"/>
    <cellStyle name="normálne 3 2 5 5" xfId="756"/>
    <cellStyle name="normálne 3 2 5 6" xfId="980"/>
    <cellStyle name="normálne 3 2 6" xfId="226"/>
    <cellStyle name="normálne 3 2 7" xfId="304"/>
    <cellStyle name="normálne 3 2 8" xfId="519"/>
    <cellStyle name="normálne 3 2 9" xfId="673"/>
    <cellStyle name="normálne 3 20" xfId="887"/>
    <cellStyle name="normálne 3 21" xfId="1095"/>
    <cellStyle name="normálne 3 22" xfId="1104"/>
    <cellStyle name="normálne 3 23" xfId="1111"/>
    <cellStyle name="normálne 3 24" xfId="1118"/>
    <cellStyle name="normálne 3 25" xfId="1125"/>
    <cellStyle name="normálne 3 26" xfId="1132"/>
    <cellStyle name="normálne 3 27" xfId="1138"/>
    <cellStyle name="normálne 3 28" xfId="1144"/>
    <cellStyle name="normálne 3 29" xfId="1150"/>
    <cellStyle name="normálne 3 3" xfId="47"/>
    <cellStyle name="normálne 3 3 2" xfId="99"/>
    <cellStyle name="normálne 3 3 2 2" xfId="173"/>
    <cellStyle name="normálne 3 3 2 2 2" xfId="353"/>
    <cellStyle name="normálne 3 3 2 2 3" xfId="490"/>
    <cellStyle name="normálne 3 3 2 2 4" xfId="630"/>
    <cellStyle name="normálne 3 3 2 2 5" xfId="796"/>
    <cellStyle name="normálne 3 3 2 2 6" xfId="850"/>
    <cellStyle name="normálne 3 3 2 3" xfId="280"/>
    <cellStyle name="normálne 3 3 2 4" xfId="418"/>
    <cellStyle name="normálne 3 3 2 5" xfId="559"/>
    <cellStyle name="normálne 3 3 2 6" xfId="724"/>
    <cellStyle name="normálne 3 3 2 7" xfId="883"/>
    <cellStyle name="normálne 3 3 3" xfId="138"/>
    <cellStyle name="normálne 3 3 3 2" xfId="318"/>
    <cellStyle name="normálne 3 3 3 3" xfId="455"/>
    <cellStyle name="normálne 3 3 3 4" xfId="595"/>
    <cellStyle name="normálne 3 3 3 5" xfId="761"/>
    <cellStyle name="normálne 3 3 3 6" xfId="825"/>
    <cellStyle name="normálne 3 3 4" xfId="233"/>
    <cellStyle name="normálne 3 3 5" xfId="245"/>
    <cellStyle name="normálne 3 3 6" xfId="524"/>
    <cellStyle name="normálne 3 3 7" xfId="686"/>
    <cellStyle name="normálne 3 3 8" xfId="836"/>
    <cellStyle name="normálne 3 30" xfId="1156"/>
    <cellStyle name="normálne 3 4" xfId="67"/>
    <cellStyle name="normálne 3 4 2" xfId="110"/>
    <cellStyle name="normálne 3 4 2 2" xfId="184"/>
    <cellStyle name="normálne 3 4 2 2 2" xfId="364"/>
    <cellStyle name="normálne 3 4 2 2 3" xfId="501"/>
    <cellStyle name="normálne 3 4 2 2 4" xfId="641"/>
    <cellStyle name="normálne 3 4 2 2 5" xfId="807"/>
    <cellStyle name="normálne 3 4 2 2 6" xfId="944"/>
    <cellStyle name="normálne 3 4 2 3" xfId="291"/>
    <cellStyle name="normálne 3 4 2 4" xfId="429"/>
    <cellStyle name="normálne 3 4 2 5" xfId="570"/>
    <cellStyle name="normálne 3 4 2 6" xfId="735"/>
    <cellStyle name="normálne 3 4 2 7" xfId="928"/>
    <cellStyle name="normálne 3 4 3" xfId="149"/>
    <cellStyle name="normálne 3 4 3 2" xfId="329"/>
    <cellStyle name="normálne 3 4 3 3" xfId="466"/>
    <cellStyle name="normálne 3 4 3 4" xfId="606"/>
    <cellStyle name="normálne 3 4 3 5" xfId="772"/>
    <cellStyle name="normálne 3 4 3 6" xfId="895"/>
    <cellStyle name="normálne 3 4 4" xfId="250"/>
    <cellStyle name="normálne 3 4 5" xfId="393"/>
    <cellStyle name="normálne 3 4 6" xfId="535"/>
    <cellStyle name="normálne 3 4 7" xfId="698"/>
    <cellStyle name="normálne 3 4 8" xfId="912"/>
    <cellStyle name="normálne 3 5" xfId="88"/>
    <cellStyle name="normálne 3 5 2" xfId="162"/>
    <cellStyle name="normálne 3 5 2 2" xfId="342"/>
    <cellStyle name="normálne 3 5 2 3" xfId="479"/>
    <cellStyle name="normálne 3 5 2 4" xfId="619"/>
    <cellStyle name="normálne 3 5 2 5" xfId="785"/>
    <cellStyle name="normálne 3 5 2 6" xfId="834"/>
    <cellStyle name="normálne 3 5 3" xfId="269"/>
    <cellStyle name="normálne 3 5 4" xfId="407"/>
    <cellStyle name="normálne 3 5 5" xfId="548"/>
    <cellStyle name="normálne 3 5 6" xfId="713"/>
    <cellStyle name="normálne 3 5 7" xfId="939"/>
    <cellStyle name="normálne 3 6" xfId="127"/>
    <cellStyle name="normálne 3 6 2" xfId="307"/>
    <cellStyle name="normálne 3 6 3" xfId="444"/>
    <cellStyle name="normálne 3 6 4" xfId="584"/>
    <cellStyle name="normálne 3 6 5" xfId="750"/>
    <cellStyle name="normálne 3 6 6" xfId="965"/>
    <cellStyle name="normálne 3 7" xfId="198"/>
    <cellStyle name="normálne 3 7 2" xfId="377"/>
    <cellStyle name="normálne 3 7 3" xfId="514"/>
    <cellStyle name="normálne 3 7 4" xfId="653"/>
    <cellStyle name="normálne 3 7 5" xfId="819"/>
    <cellStyle name="normálne 3 7 6" xfId="837"/>
    <cellStyle name="normálne 3 8" xfId="215"/>
    <cellStyle name="normálne 3 9" xfId="253"/>
    <cellStyle name="normálne 30" xfId="1083"/>
    <cellStyle name="normálne 31" xfId="1010"/>
    <cellStyle name="normálne 32" xfId="1075"/>
    <cellStyle name="normálne 33" xfId="17"/>
    <cellStyle name="normálne 33 10" xfId="668"/>
    <cellStyle name="normálne 33 11" xfId="682"/>
    <cellStyle name="normálne 33 2" xfId="37"/>
    <cellStyle name="normálne 33 2 10" xfId="907"/>
    <cellStyle name="normálne 33 2 2" xfId="51"/>
    <cellStyle name="normálne 33 2 2 2" xfId="103"/>
    <cellStyle name="normálne 33 2 2 2 2" xfId="177"/>
    <cellStyle name="normálne 33 2 2 2 2 2" xfId="357"/>
    <cellStyle name="normálne 33 2 2 2 2 3" xfId="494"/>
    <cellStyle name="normálne 33 2 2 2 2 4" xfId="634"/>
    <cellStyle name="normálne 33 2 2 2 2 5" xfId="800"/>
    <cellStyle name="normálne 33 2 2 2 2 6" xfId="867"/>
    <cellStyle name="normálne 33 2 2 2 3" xfId="284"/>
    <cellStyle name="normálne 33 2 2 2 4" xfId="422"/>
    <cellStyle name="normálne 33 2 2 2 5" xfId="563"/>
    <cellStyle name="normálne 33 2 2 2 6" xfId="728"/>
    <cellStyle name="normálne 33 2 2 2 7" xfId="961"/>
    <cellStyle name="normálne 33 2 2 3" xfId="142"/>
    <cellStyle name="normálne 33 2 2 3 2" xfId="322"/>
    <cellStyle name="normálne 33 2 2 3 3" xfId="459"/>
    <cellStyle name="normálne 33 2 2 3 4" xfId="599"/>
    <cellStyle name="normálne 33 2 2 3 5" xfId="765"/>
    <cellStyle name="normálne 33 2 2 3 6" xfId="947"/>
    <cellStyle name="normálne 33 2 2 4" xfId="237"/>
    <cellStyle name="normálne 33 2 2 5" xfId="382"/>
    <cellStyle name="normálne 33 2 2 6" xfId="528"/>
    <cellStyle name="normálne 33 2 2 7" xfId="689"/>
    <cellStyle name="normálne 33 2 2 8" xfId="871"/>
    <cellStyle name="normálne 33 2 3" xfId="75"/>
    <cellStyle name="normálne 33 2 3 2" xfId="114"/>
    <cellStyle name="normálne 33 2 3 2 2" xfId="188"/>
    <cellStyle name="normálne 33 2 3 2 2 2" xfId="368"/>
    <cellStyle name="normálne 33 2 3 2 2 3" xfId="505"/>
    <cellStyle name="normálne 33 2 3 2 2 4" xfId="645"/>
    <cellStyle name="normálne 33 2 3 2 2 5" xfId="811"/>
    <cellStyle name="normálne 33 2 3 2 2 6" xfId="922"/>
    <cellStyle name="normálne 33 2 3 2 3" xfId="295"/>
    <cellStyle name="normálne 33 2 3 2 4" xfId="433"/>
    <cellStyle name="normálne 33 2 3 2 5" xfId="574"/>
    <cellStyle name="normálne 33 2 3 2 6" xfId="739"/>
    <cellStyle name="normálne 33 2 3 2 7" xfId="848"/>
    <cellStyle name="normálne 33 2 3 3" xfId="153"/>
    <cellStyle name="normálne 33 2 3 3 2" xfId="333"/>
    <cellStyle name="normálne 33 2 3 3 3" xfId="470"/>
    <cellStyle name="normálne 33 2 3 3 4" xfId="610"/>
    <cellStyle name="normálne 33 2 3 3 5" xfId="776"/>
    <cellStyle name="normálne 33 2 3 3 6" xfId="874"/>
    <cellStyle name="normálne 33 2 3 4" xfId="257"/>
    <cellStyle name="normálne 33 2 3 5" xfId="397"/>
    <cellStyle name="normálne 33 2 3 6" xfId="539"/>
    <cellStyle name="normálne 33 2 3 7" xfId="703"/>
    <cellStyle name="normálne 33 2 3 8" xfId="879"/>
    <cellStyle name="normálne 33 2 4" xfId="92"/>
    <cellStyle name="normálne 33 2 4 2" xfId="166"/>
    <cellStyle name="normálne 33 2 4 2 2" xfId="346"/>
    <cellStyle name="normálne 33 2 4 2 3" xfId="483"/>
    <cellStyle name="normálne 33 2 4 2 4" xfId="623"/>
    <cellStyle name="normálne 33 2 4 2 5" xfId="789"/>
    <cellStyle name="normálne 33 2 4 2 6" xfId="951"/>
    <cellStyle name="normálne 33 2 4 3" xfId="273"/>
    <cellStyle name="normálne 33 2 4 4" xfId="411"/>
    <cellStyle name="normálne 33 2 4 5" xfId="552"/>
    <cellStyle name="normálne 33 2 4 6" xfId="717"/>
    <cellStyle name="normálne 33 2 4 7" xfId="916"/>
    <cellStyle name="normálne 33 2 5" xfId="131"/>
    <cellStyle name="normálne 33 2 5 2" xfId="311"/>
    <cellStyle name="normálne 33 2 5 3" xfId="448"/>
    <cellStyle name="normálne 33 2 5 4" xfId="588"/>
    <cellStyle name="normálne 33 2 5 5" xfId="754"/>
    <cellStyle name="normálne 33 2 5 6" xfId="905"/>
    <cellStyle name="normálne 33 2 6" xfId="224"/>
    <cellStyle name="normálne 33 2 7" xfId="212"/>
    <cellStyle name="normálne 33 2 8" xfId="517"/>
    <cellStyle name="normálne 33 2 9" xfId="680"/>
    <cellStyle name="normálne 33 3" xfId="45"/>
    <cellStyle name="normálne 33 3 2" xfId="97"/>
    <cellStyle name="normálne 33 3 2 2" xfId="171"/>
    <cellStyle name="normálne 33 3 2 2 2" xfId="351"/>
    <cellStyle name="normálne 33 3 2 2 3" xfId="488"/>
    <cellStyle name="normálne 33 3 2 2 4" xfId="628"/>
    <cellStyle name="normálne 33 3 2 2 5" xfId="794"/>
    <cellStyle name="normálne 33 3 2 2 6" xfId="882"/>
    <cellStyle name="normálne 33 3 2 3" xfId="278"/>
    <cellStyle name="normálne 33 3 2 4" xfId="416"/>
    <cellStyle name="normálne 33 3 2 5" xfId="557"/>
    <cellStyle name="normálne 33 3 2 6" xfId="722"/>
    <cellStyle name="normálne 33 3 2 7" xfId="978"/>
    <cellStyle name="normálne 33 3 3" xfId="136"/>
    <cellStyle name="normálne 33 3 3 2" xfId="316"/>
    <cellStyle name="normálne 33 3 3 3" xfId="453"/>
    <cellStyle name="normálne 33 3 3 4" xfId="593"/>
    <cellStyle name="normálne 33 3 3 5" xfId="759"/>
    <cellStyle name="normálne 33 3 3 6" xfId="891"/>
    <cellStyle name="normálne 33 3 4" xfId="231"/>
    <cellStyle name="normálne 33 3 5" xfId="248"/>
    <cellStyle name="normálne 33 3 6" xfId="522"/>
    <cellStyle name="normálne 33 3 7" xfId="684"/>
    <cellStyle name="normálne 33 3 8" xfId="940"/>
    <cellStyle name="normálne 33 4" xfId="61"/>
    <cellStyle name="normálne 33 4 2" xfId="108"/>
    <cellStyle name="normálne 33 4 2 2" xfId="182"/>
    <cellStyle name="normálne 33 4 2 2 2" xfId="362"/>
    <cellStyle name="normálne 33 4 2 2 3" xfId="499"/>
    <cellStyle name="normálne 33 4 2 2 4" xfId="639"/>
    <cellStyle name="normálne 33 4 2 2 5" xfId="805"/>
    <cellStyle name="normálne 33 4 2 2 6" xfId="927"/>
    <cellStyle name="normálne 33 4 2 3" xfId="289"/>
    <cellStyle name="normálne 33 4 2 4" xfId="427"/>
    <cellStyle name="normálne 33 4 2 5" xfId="568"/>
    <cellStyle name="normálne 33 4 2 6" xfId="733"/>
    <cellStyle name="normálne 33 4 2 7" xfId="855"/>
    <cellStyle name="normálne 33 4 3" xfId="147"/>
    <cellStyle name="normálne 33 4 3 2" xfId="327"/>
    <cellStyle name="normálne 33 4 3 3" xfId="464"/>
    <cellStyle name="normálne 33 4 3 4" xfId="604"/>
    <cellStyle name="normálne 33 4 3 5" xfId="770"/>
    <cellStyle name="normálne 33 4 3 6" xfId="878"/>
    <cellStyle name="normálne 33 4 4" xfId="246"/>
    <cellStyle name="normálne 33 4 5" xfId="390"/>
    <cellStyle name="normálne 33 4 6" xfId="533"/>
    <cellStyle name="normálne 33 4 7" xfId="696"/>
    <cellStyle name="normálne 33 4 8" xfId="676"/>
    <cellStyle name="normálne 33 5" xfId="86"/>
    <cellStyle name="normálne 33 5 2" xfId="160"/>
    <cellStyle name="normálne 33 5 2 2" xfId="340"/>
    <cellStyle name="normálne 33 5 2 3" xfId="477"/>
    <cellStyle name="normálne 33 5 2 4" xfId="617"/>
    <cellStyle name="normálne 33 5 2 5" xfId="783"/>
    <cellStyle name="normálne 33 5 2 6" xfId="938"/>
    <cellStyle name="normálne 33 5 3" xfId="267"/>
    <cellStyle name="normálne 33 5 4" xfId="405"/>
    <cellStyle name="normálne 33 5 5" xfId="546"/>
    <cellStyle name="normálne 33 5 6" xfId="711"/>
    <cellStyle name="normálne 33 5 7" xfId="934"/>
    <cellStyle name="normálne 33 6" xfId="125"/>
    <cellStyle name="normálne 33 6 2" xfId="305"/>
    <cellStyle name="normálne 33 6 3" xfId="442"/>
    <cellStyle name="normálne 33 6 4" xfId="582"/>
    <cellStyle name="normálne 33 6 5" xfId="748"/>
    <cellStyle name="normálne 33 6 6" xfId="889"/>
    <cellStyle name="normálne 33 7" xfId="208"/>
    <cellStyle name="normálne 33 8" xfId="256"/>
    <cellStyle name="normálne 33 9" xfId="513"/>
    <cellStyle name="normálne 34" xfId="670"/>
    <cellStyle name="normálne 35" xfId="1218"/>
    <cellStyle name="normálne 35 2" xfId="1363"/>
    <cellStyle name="normálne 36" xfId="1216"/>
    <cellStyle name="normálne 37" xfId="1103"/>
    <cellStyle name="normálne 38" xfId="1102"/>
    <cellStyle name="normálne 39" xfId="1110"/>
    <cellStyle name="normálne 4" xfId="27"/>
    <cellStyle name="normálne 4 10" xfId="660"/>
    <cellStyle name="normálne 4 10 2" xfId="994"/>
    <cellStyle name="normálne 4 10 3" xfId="1087"/>
    <cellStyle name="normálne 4 11" xfId="1002"/>
    <cellStyle name="normálne 4 12" xfId="1064"/>
    <cellStyle name="normálne 4 13" xfId="1053"/>
    <cellStyle name="normálne 4 14" xfId="1043"/>
    <cellStyle name="normálne 4 15" xfId="1009"/>
    <cellStyle name="normálne 4 16" xfId="1032"/>
    <cellStyle name="normálne 4 17" xfId="1037"/>
    <cellStyle name="normálne 4 18" xfId="1054"/>
    <cellStyle name="normálne 4 19" xfId="820"/>
    <cellStyle name="normálne 4 2" xfId="41"/>
    <cellStyle name="normálne 4 2 10" xfId="973"/>
    <cellStyle name="normálne 4 2 2" xfId="54"/>
    <cellStyle name="normálne 4 2 2 2" xfId="106"/>
    <cellStyle name="normálne 4 2 2 2 2" xfId="180"/>
    <cellStyle name="normálne 4 2 2 2 2 2" xfId="360"/>
    <cellStyle name="normálne 4 2 2 2 2 3" xfId="497"/>
    <cellStyle name="normálne 4 2 2 2 2 4" xfId="637"/>
    <cellStyle name="normálne 4 2 2 2 2 5" xfId="803"/>
    <cellStyle name="normálne 4 2 2 2 2 6" xfId="854"/>
    <cellStyle name="normálne 4 2 2 2 3" xfId="287"/>
    <cellStyle name="normálne 4 2 2 2 4" xfId="425"/>
    <cellStyle name="normálne 4 2 2 2 5" xfId="566"/>
    <cellStyle name="normálne 4 2 2 2 6" xfId="731"/>
    <cellStyle name="normálne 4 2 2 2 7" xfId="950"/>
    <cellStyle name="normálne 4 2 2 3" xfId="145"/>
    <cellStyle name="normálne 4 2 2 3 2" xfId="325"/>
    <cellStyle name="normálne 4 2 2 3 3" xfId="462"/>
    <cellStyle name="normálne 4 2 2 3 4" xfId="602"/>
    <cellStyle name="normálne 4 2 2 3 5" xfId="768"/>
    <cellStyle name="normálne 4 2 2 3 6" xfId="972"/>
    <cellStyle name="normálne 4 2 2 4" xfId="240"/>
    <cellStyle name="normálne 4 2 2 5" xfId="385"/>
    <cellStyle name="normálne 4 2 2 6" xfId="531"/>
    <cellStyle name="normálne 4 2 2 7" xfId="692"/>
    <cellStyle name="normálne 4 2 2 8" xfId="858"/>
    <cellStyle name="normálne 4 2 3" xfId="79"/>
    <cellStyle name="normálne 4 2 3 2" xfId="117"/>
    <cellStyle name="normálne 4 2 3 2 2" xfId="191"/>
    <cellStyle name="normálne 4 2 3 2 2 2" xfId="371"/>
    <cellStyle name="normálne 4 2 3 2 2 3" xfId="508"/>
    <cellStyle name="normálne 4 2 3 2 2 4" xfId="648"/>
    <cellStyle name="normálne 4 2 3 2 2 5" xfId="814"/>
    <cellStyle name="normálne 4 2 3 2 2 6" xfId="908"/>
    <cellStyle name="normálne 4 2 3 2 3" xfId="298"/>
    <cellStyle name="normálne 4 2 3 2 4" xfId="436"/>
    <cellStyle name="normálne 4 2 3 2 5" xfId="577"/>
    <cellStyle name="normálne 4 2 3 2 6" xfId="742"/>
    <cellStyle name="normálne 4 2 3 2 7" xfId="877"/>
    <cellStyle name="normálne 4 2 3 3" xfId="156"/>
    <cellStyle name="normálne 4 2 3 3 2" xfId="336"/>
    <cellStyle name="normálne 4 2 3 3 3" xfId="473"/>
    <cellStyle name="normálne 4 2 3 3 4" xfId="613"/>
    <cellStyle name="normálne 4 2 3 3 5" xfId="779"/>
    <cellStyle name="normálne 4 2 3 3 6" xfId="860"/>
    <cellStyle name="normálne 4 2 3 4" xfId="261"/>
    <cellStyle name="normálne 4 2 3 5" xfId="400"/>
    <cellStyle name="normálne 4 2 3 6" xfId="542"/>
    <cellStyle name="normálne 4 2 3 7" xfId="706"/>
    <cellStyle name="normálne 4 2 3 8" xfId="968"/>
    <cellStyle name="normálne 4 2 4" xfId="95"/>
    <cellStyle name="normálne 4 2 4 2" xfId="169"/>
    <cellStyle name="normálne 4 2 4 2 2" xfId="349"/>
    <cellStyle name="normálne 4 2 4 2 3" xfId="486"/>
    <cellStyle name="normálne 4 2 4 2 4" xfId="626"/>
    <cellStyle name="normálne 4 2 4 2 5" xfId="792"/>
    <cellStyle name="normálne 4 2 4 2 6" xfId="977"/>
    <cellStyle name="normálne 4 2 4 3" xfId="276"/>
    <cellStyle name="normálne 4 2 4 4" xfId="414"/>
    <cellStyle name="normálne 4 2 4 5" xfId="555"/>
    <cellStyle name="normálne 4 2 4 6" xfId="720"/>
    <cellStyle name="normálne 4 2 4 7" xfId="903"/>
    <cellStyle name="normálne 4 2 5" xfId="134"/>
    <cellStyle name="normálne 4 2 5 2" xfId="314"/>
    <cellStyle name="normálne 4 2 5 3" xfId="451"/>
    <cellStyle name="normálne 4 2 5 4" xfId="591"/>
    <cellStyle name="normálne 4 2 5 5" xfId="757"/>
    <cellStyle name="normálne 4 2 5 6" xfId="932"/>
    <cellStyle name="normálne 4 2 6" xfId="227"/>
    <cellStyle name="normálne 4 2 7" xfId="266"/>
    <cellStyle name="normálne 4 2 8" xfId="520"/>
    <cellStyle name="normálne 4 2 9" xfId="674"/>
    <cellStyle name="normálne 4 20" xfId="1099"/>
    <cellStyle name="normálne 4 21" xfId="1105"/>
    <cellStyle name="normálne 4 22" xfId="1112"/>
    <cellStyle name="normálne 4 23" xfId="1119"/>
    <cellStyle name="normálne 4 24" xfId="1126"/>
    <cellStyle name="normálne 4 25" xfId="1133"/>
    <cellStyle name="normálne 4 26" xfId="1139"/>
    <cellStyle name="normálne 4 27" xfId="1145"/>
    <cellStyle name="normálne 4 28" xfId="1151"/>
    <cellStyle name="normálne 4 29" xfId="1157"/>
    <cellStyle name="normálne 4 3" xfId="48"/>
    <cellStyle name="normálne 4 3 2" xfId="100"/>
    <cellStyle name="normálne 4 3 2 2" xfId="174"/>
    <cellStyle name="normálne 4 3 2 2 2" xfId="354"/>
    <cellStyle name="normálne 4 3 2 2 3" xfId="491"/>
    <cellStyle name="normálne 4 3 2 2 4" xfId="631"/>
    <cellStyle name="normálne 4 3 2 2 5" xfId="797"/>
    <cellStyle name="normálne 4 3 2 2 6" xfId="831"/>
    <cellStyle name="normálne 4 3 2 3" xfId="281"/>
    <cellStyle name="normálne 4 3 2 4" xfId="419"/>
    <cellStyle name="normálne 4 3 2 5" xfId="560"/>
    <cellStyle name="normálne 4 3 2 6" xfId="725"/>
    <cellStyle name="normálne 4 3 2 7" xfId="937"/>
    <cellStyle name="normálne 4 3 3" xfId="139"/>
    <cellStyle name="normálne 4 3 3 2" xfId="319"/>
    <cellStyle name="normálne 4 3 3 3" xfId="456"/>
    <cellStyle name="normálne 4 3 3 4" xfId="596"/>
    <cellStyle name="normálne 4 3 3 5" xfId="762"/>
    <cellStyle name="normálne 4 3 3 6" xfId="959"/>
    <cellStyle name="normálne 4 3 4" xfId="234"/>
    <cellStyle name="normálne 4 3 5" xfId="249"/>
    <cellStyle name="normálne 4 3 6" xfId="525"/>
    <cellStyle name="normálne 4 3 7" xfId="687"/>
    <cellStyle name="normálne 4 3 8" xfId="964"/>
    <cellStyle name="normálne 4 30" xfId="1273"/>
    <cellStyle name="normálne 4 4" xfId="68"/>
    <cellStyle name="normálne 4 4 2" xfId="111"/>
    <cellStyle name="normálne 4 4 2 2" xfId="185"/>
    <cellStyle name="normálne 4 4 2 2 2" xfId="365"/>
    <cellStyle name="normálne 4 4 2 2 3" xfId="502"/>
    <cellStyle name="normálne 4 4 2 2 4" xfId="642"/>
    <cellStyle name="normálne 4 4 2 2 5" xfId="808"/>
    <cellStyle name="normálne 4 4 2 2 6" xfId="897"/>
    <cellStyle name="normálne 4 4 2 3" xfId="292"/>
    <cellStyle name="normálne 4 4 2 4" xfId="430"/>
    <cellStyle name="normálne 4 4 2 5" xfId="571"/>
    <cellStyle name="normálne 4 4 2 6" xfId="736"/>
    <cellStyle name="normálne 4 4 2 7" xfId="881"/>
    <cellStyle name="normálne 4 4 3" xfId="150"/>
    <cellStyle name="normálne 4 4 3 2" xfId="330"/>
    <cellStyle name="normálne 4 4 3 3" xfId="467"/>
    <cellStyle name="normálne 4 4 3 4" xfId="607"/>
    <cellStyle name="normálne 4 4 3 5" xfId="773"/>
    <cellStyle name="normálne 4 4 3 6" xfId="842"/>
    <cellStyle name="normálne 4 4 4" xfId="251"/>
    <cellStyle name="normálne 4 4 5" xfId="394"/>
    <cellStyle name="normálne 4 4 6" xfId="536"/>
    <cellStyle name="normálne 4 4 7" xfId="699"/>
    <cellStyle name="normálne 4 4 8" xfId="866"/>
    <cellStyle name="normálne 4 5" xfId="89"/>
    <cellStyle name="normálne 4 5 2" xfId="163"/>
    <cellStyle name="normálne 4 5 2 2" xfId="343"/>
    <cellStyle name="normálne 4 5 2 3" xfId="480"/>
    <cellStyle name="normálne 4 5 2 4" xfId="620"/>
    <cellStyle name="normálne 4 5 2 5" xfId="786"/>
    <cellStyle name="normálne 4 5 2 6" xfId="962"/>
    <cellStyle name="normálne 4 5 3" xfId="270"/>
    <cellStyle name="normálne 4 5 4" xfId="408"/>
    <cellStyle name="normálne 4 5 5" xfId="549"/>
    <cellStyle name="normálne 4 5 6" xfId="714"/>
    <cellStyle name="normálne 4 5 7" xfId="824"/>
    <cellStyle name="normálne 4 6" xfId="128"/>
    <cellStyle name="normálne 4 6 2" xfId="308"/>
    <cellStyle name="normálne 4 6 3" xfId="445"/>
    <cellStyle name="normálne 4 6 4" xfId="585"/>
    <cellStyle name="normálne 4 6 5" xfId="751"/>
    <cellStyle name="normálne 4 6 6" xfId="919"/>
    <cellStyle name="normálne 4 7" xfId="216"/>
    <cellStyle name="normálne 4 8" xfId="219"/>
    <cellStyle name="normálne 4 9" xfId="388"/>
    <cellStyle name="normálne 40" xfId="1117"/>
    <cellStyle name="normálne 41" xfId="1124"/>
    <cellStyle name="normálne 42" xfId="1131"/>
    <cellStyle name="normálne 43" xfId="1217"/>
    <cellStyle name="normálne 44" xfId="1296"/>
    <cellStyle name="normálne 45" xfId="1209"/>
    <cellStyle name="normálne 46" xfId="1208"/>
    <cellStyle name="normálne 47" xfId="1299"/>
    <cellStyle name="normálne 48" xfId="1298"/>
    <cellStyle name="normálne 49" xfId="1373"/>
    <cellStyle name="normálne 5" xfId="18"/>
    <cellStyle name="normálne 5 2" xfId="209"/>
    <cellStyle name="normálne 5 2 2" xfId="823"/>
    <cellStyle name="normálne 5 2 2 2" xfId="1329"/>
    <cellStyle name="normálne 5 2 3" xfId="846"/>
    <cellStyle name="normálne 5 2 3 2" xfId="1336"/>
    <cellStyle name="normálne 5 2 4" xfId="1307"/>
    <cellStyle name="normálne 5 3" xfId="223"/>
    <cellStyle name="normálne 5 3 2" xfId="830"/>
    <cellStyle name="normálne 5 3 2 2" xfId="1332"/>
    <cellStyle name="normálne 5 3 3" xfId="966"/>
    <cellStyle name="normálne 5 3 3 2" xfId="1347"/>
    <cellStyle name="normálne 5 3 4" xfId="1310"/>
    <cellStyle name="normálne 5 4" xfId="441"/>
    <cellStyle name="normálne 5 4 2" xfId="910"/>
    <cellStyle name="normálne 5 4 2 2" xfId="1344"/>
    <cellStyle name="normálne 5 4 3" xfId="890"/>
    <cellStyle name="normálne 5 4 3 2" xfId="1340"/>
    <cellStyle name="normálne 5 4 4" xfId="1317"/>
    <cellStyle name="normálne 5 5" xfId="669"/>
    <cellStyle name="normálne 5 5 2" xfId="1323"/>
    <cellStyle name="normálne 5 6" xfId="845"/>
    <cellStyle name="normálne 5 6 2" xfId="1335"/>
    <cellStyle name="normálne 5 7" xfId="1301"/>
    <cellStyle name="normálne 5 8" xfId="1272"/>
    <cellStyle name="normálne 6" xfId="28"/>
    <cellStyle name="normálne 6 10" xfId="661"/>
    <cellStyle name="normálne 6 10 2" xfId="995"/>
    <cellStyle name="normálne 6 10 3" xfId="1088"/>
    <cellStyle name="normálne 6 11" xfId="1028"/>
    <cellStyle name="normálne 6 12" xfId="1044"/>
    <cellStyle name="normálne 6 13" xfId="1063"/>
    <cellStyle name="normálne 6 14" xfId="1023"/>
    <cellStyle name="normálne 6 15" xfId="1020"/>
    <cellStyle name="normálne 6 16" xfId="1079"/>
    <cellStyle name="normálne 6 17" xfId="1068"/>
    <cellStyle name="normálne 6 18" xfId="1073"/>
    <cellStyle name="normálne 6 19" xfId="747"/>
    <cellStyle name="normálne 6 2" xfId="42"/>
    <cellStyle name="normálne 6 2 10" xfId="926"/>
    <cellStyle name="normálne 6 2 2" xfId="55"/>
    <cellStyle name="normálne 6 2 2 2" xfId="107"/>
    <cellStyle name="normálne 6 2 2 2 2" xfId="181"/>
    <cellStyle name="normálne 6 2 2 2 2 2" xfId="361"/>
    <cellStyle name="normálne 6 2 2 2 2 3" xfId="498"/>
    <cellStyle name="normálne 6 2 2 2 2 4" xfId="638"/>
    <cellStyle name="normálne 6 2 2 2 2 5" xfId="804"/>
    <cellStyle name="normálne 6 2 2 2 2 6" xfId="974"/>
    <cellStyle name="normálne 6 2 2 2 3" xfId="288"/>
    <cellStyle name="normálne 6 2 2 2 4" xfId="426"/>
    <cellStyle name="normálne 6 2 2 2 5" xfId="567"/>
    <cellStyle name="normálne 6 2 2 2 6" xfId="732"/>
    <cellStyle name="normálne 6 2 2 2 7" xfId="901"/>
    <cellStyle name="normálne 6 2 2 3" xfId="146"/>
    <cellStyle name="normálne 6 2 2 3 2" xfId="326"/>
    <cellStyle name="normálne 6 2 2 3 3" xfId="463"/>
    <cellStyle name="normálne 6 2 2 3 4" xfId="603"/>
    <cellStyle name="normálne 6 2 2 3 5" xfId="769"/>
    <cellStyle name="normálne 6 2 2 3 6" xfId="924"/>
    <cellStyle name="normálne 6 2 2 4" xfId="241"/>
    <cellStyle name="normálne 6 2 2 5" xfId="386"/>
    <cellStyle name="normálne 6 2 2 6" xfId="532"/>
    <cellStyle name="normálne 6 2 2 7" xfId="693"/>
    <cellStyle name="normálne 6 2 2 8" xfId="979"/>
    <cellStyle name="normálne 6 2 3" xfId="80"/>
    <cellStyle name="normálne 6 2 3 2" xfId="118"/>
    <cellStyle name="normálne 6 2 3 2 2" xfId="192"/>
    <cellStyle name="normálne 6 2 3 2 2 2" xfId="372"/>
    <cellStyle name="normálne 6 2 3 2 2 3" xfId="509"/>
    <cellStyle name="normálne 6 2 3 2 2 4" xfId="649"/>
    <cellStyle name="normálne 6 2 3 2 2 5" xfId="815"/>
    <cellStyle name="normálne 6 2 3 2 2 6" xfId="862"/>
    <cellStyle name="normálne 6 2 3 2 3" xfId="299"/>
    <cellStyle name="normálne 6 2 3 2 4" xfId="437"/>
    <cellStyle name="normálne 6 2 3 2 5" xfId="578"/>
    <cellStyle name="normálne 6 2 3 2 6" xfId="743"/>
    <cellStyle name="normálne 6 2 3 2 7" xfId="958"/>
    <cellStyle name="normálne 6 2 3 3" xfId="157"/>
    <cellStyle name="normálne 6 2 3 3 2" xfId="337"/>
    <cellStyle name="normálne 6 2 3 3 3" xfId="474"/>
    <cellStyle name="normálne 6 2 3 3 4" xfId="614"/>
    <cellStyle name="normálne 6 2 3 3 5" xfId="780"/>
    <cellStyle name="normálne 6 2 3 3 6" xfId="982"/>
    <cellStyle name="normálne 6 2 3 4" xfId="262"/>
    <cellStyle name="normálne 6 2 3 5" xfId="401"/>
    <cellStyle name="normálne 6 2 3 6" xfId="543"/>
    <cellStyle name="normálne 6 2 3 7" xfId="707"/>
    <cellStyle name="normálne 6 2 3 8" xfId="921"/>
    <cellStyle name="normálne 6 2 4" xfId="96"/>
    <cellStyle name="normálne 6 2 4 2" xfId="170"/>
    <cellStyle name="normálne 6 2 4 2 2" xfId="350"/>
    <cellStyle name="normálne 6 2 4 2 3" xfId="487"/>
    <cellStyle name="normálne 6 2 4 2 4" xfId="627"/>
    <cellStyle name="normálne 6 2 4 2 5" xfId="793"/>
    <cellStyle name="normálne 6 2 4 2 6" xfId="929"/>
    <cellStyle name="normálne 6 2 4 3" xfId="277"/>
    <cellStyle name="normálne 6 2 4 4" xfId="415"/>
    <cellStyle name="normálne 6 2 4 5" xfId="556"/>
    <cellStyle name="normálne 6 2 4 6" xfId="721"/>
    <cellStyle name="normálne 6 2 4 7" xfId="857"/>
    <cellStyle name="normálne 6 2 5" xfId="135"/>
    <cellStyle name="normálne 6 2 5 2" xfId="315"/>
    <cellStyle name="normálne 6 2 5 3" xfId="452"/>
    <cellStyle name="normálne 6 2 5 4" xfId="592"/>
    <cellStyle name="normálne 6 2 5 5" xfId="758"/>
    <cellStyle name="normálne 6 2 5 6" xfId="884"/>
    <cellStyle name="normálne 6 2 6" xfId="228"/>
    <cellStyle name="normálne 6 2 7" xfId="243"/>
    <cellStyle name="normálne 6 2 8" xfId="521"/>
    <cellStyle name="normálne 6 2 9" xfId="675"/>
    <cellStyle name="normálne 6 20" xfId="1098"/>
    <cellStyle name="normálne 6 21" xfId="1106"/>
    <cellStyle name="normálne 6 22" xfId="1113"/>
    <cellStyle name="normálne 6 23" xfId="1120"/>
    <cellStyle name="normálne 6 24" xfId="1127"/>
    <cellStyle name="normálne 6 25" xfId="1134"/>
    <cellStyle name="normálne 6 26" xfId="1140"/>
    <cellStyle name="normálne 6 27" xfId="1146"/>
    <cellStyle name="normálne 6 28" xfId="1152"/>
    <cellStyle name="normálne 6 29" xfId="1158"/>
    <cellStyle name="normálne 6 3" xfId="49"/>
    <cellStyle name="normálne 6 3 2" xfId="101"/>
    <cellStyle name="normálne 6 3 2 2" xfId="175"/>
    <cellStyle name="normálne 6 3 2 2 2" xfId="355"/>
    <cellStyle name="normálne 6 3 2 2 3" xfId="492"/>
    <cellStyle name="normálne 6 3 2 2 4" xfId="632"/>
    <cellStyle name="normálne 6 3 2 2 5" xfId="798"/>
    <cellStyle name="normálne 6 3 2 2 6" xfId="960"/>
    <cellStyle name="normálne 6 3 2 3" xfId="282"/>
    <cellStyle name="normálne 6 3 2 4" xfId="420"/>
    <cellStyle name="normálne 6 3 2 5" xfId="561"/>
    <cellStyle name="normálne 6 3 2 6" xfId="726"/>
    <cellStyle name="normálne 6 3 2 7" xfId="839"/>
    <cellStyle name="normálne 6 3 3" xfId="140"/>
    <cellStyle name="normálne 6 3 3 2" xfId="320"/>
    <cellStyle name="normálne 6 3 3 3" xfId="457"/>
    <cellStyle name="normálne 6 3 3 4" xfId="597"/>
    <cellStyle name="normálne 6 3 3 5" xfId="763"/>
    <cellStyle name="normálne 6 3 3 6" xfId="911"/>
    <cellStyle name="normálne 6 3 4" xfId="235"/>
    <cellStyle name="normálne 6 3 5" xfId="214"/>
    <cellStyle name="normálne 6 3 6" xfId="526"/>
    <cellStyle name="normálne 6 3 7" xfId="688"/>
    <cellStyle name="normálne 6 3 8" xfId="917"/>
    <cellStyle name="normálne 6 30" xfId="1252"/>
    <cellStyle name="normálne 6 4" xfId="69"/>
    <cellStyle name="normálne 6 4 2" xfId="112"/>
    <cellStyle name="normálne 6 4 2 2" xfId="186"/>
    <cellStyle name="normálne 6 4 2 2 2" xfId="366"/>
    <cellStyle name="normálne 6 4 2 2 3" xfId="503"/>
    <cellStyle name="normálne 6 4 2 2 4" xfId="643"/>
    <cellStyle name="normálne 6 4 2 2 5" xfId="809"/>
    <cellStyle name="normálne 6 4 2 2 6" xfId="847"/>
    <cellStyle name="normálne 6 4 2 3" xfId="293"/>
    <cellStyle name="normálne 6 4 2 4" xfId="431"/>
    <cellStyle name="normálne 6 4 2 5" xfId="572"/>
    <cellStyle name="normálne 6 4 2 6" xfId="737"/>
    <cellStyle name="normálne 6 4 2 7" xfId="945"/>
    <cellStyle name="normálne 6 4 3" xfId="151"/>
    <cellStyle name="normálne 6 4 3 2" xfId="331"/>
    <cellStyle name="normálne 6 4 3 3" xfId="468"/>
    <cellStyle name="normálne 6 4 3 4" xfId="608"/>
    <cellStyle name="normálne 6 4 3 5" xfId="774"/>
    <cellStyle name="normálne 6 4 3 6" xfId="967"/>
    <cellStyle name="normálne 6 4 4" xfId="252"/>
    <cellStyle name="normálne 6 4 5" xfId="395"/>
    <cellStyle name="normálne 6 4 6" xfId="537"/>
    <cellStyle name="normálne 6 4 7" xfId="700"/>
    <cellStyle name="normálne 6 4 8" xfId="948"/>
    <cellStyle name="normálne 6 5" xfId="90"/>
    <cellStyle name="normálne 6 5 2" xfId="164"/>
    <cellStyle name="normálne 6 5 2 2" xfId="344"/>
    <cellStyle name="normálne 6 5 2 3" xfId="481"/>
    <cellStyle name="normálne 6 5 2 4" xfId="621"/>
    <cellStyle name="normálne 6 5 2 5" xfId="787"/>
    <cellStyle name="normálne 6 5 2 6" xfId="915"/>
    <cellStyle name="normálne 6 5 3" xfId="271"/>
    <cellStyle name="normálne 6 5 4" xfId="409"/>
    <cellStyle name="normálne 6 5 5" xfId="550"/>
    <cellStyle name="normálne 6 5 6" xfId="715"/>
    <cellStyle name="normálne 6 5 7" xfId="835"/>
    <cellStyle name="normálne 6 6" xfId="129"/>
    <cellStyle name="normálne 6 6 2" xfId="309"/>
    <cellStyle name="normálne 6 6 3" xfId="446"/>
    <cellStyle name="normálne 6 6 4" xfId="586"/>
    <cellStyle name="normálne 6 6 5" xfId="752"/>
    <cellStyle name="normálne 6 6 6" xfId="873"/>
    <cellStyle name="normálne 6 7" xfId="217"/>
    <cellStyle name="normálne 6 8" xfId="380"/>
    <cellStyle name="normálne 6 9" xfId="229"/>
    <cellStyle name="normálne 7" xfId="30"/>
    <cellStyle name="normálne 7 2" xfId="70"/>
    <cellStyle name="normálne 7 3" xfId="1366"/>
    <cellStyle name="normálne 8" xfId="34"/>
    <cellStyle name="normálne 8 2" xfId="72"/>
    <cellStyle name="normálne 8 3" xfId="1240"/>
    <cellStyle name="normálne 9" xfId="31"/>
    <cellStyle name="normálne 9 10" xfId="1069"/>
    <cellStyle name="normálne 9 11" xfId="1076"/>
    <cellStyle name="normálne 9 12" xfId="1078"/>
    <cellStyle name="normálne 9 13" xfId="1080"/>
    <cellStyle name="normálne 9 14" xfId="1082"/>
    <cellStyle name="normálne 9 15" xfId="1006"/>
    <cellStyle name="normálne 9 16" xfId="1058"/>
    <cellStyle name="normálne 9 17" xfId="1070"/>
    <cellStyle name="normálne 9 18" xfId="683"/>
    <cellStyle name="normálne 9 19" xfId="1096"/>
    <cellStyle name="normálne 9 2" xfId="50"/>
    <cellStyle name="normálne 9 2 2" xfId="102"/>
    <cellStyle name="normálne 9 2 2 2" xfId="176"/>
    <cellStyle name="normálne 9 2 2 2 2" xfId="356"/>
    <cellStyle name="normálne 9 2 2 2 3" xfId="493"/>
    <cellStyle name="normálne 9 2 2 2 4" xfId="633"/>
    <cellStyle name="normálne 9 2 2 2 5" xfId="799"/>
    <cellStyle name="normálne 9 2 2 2 6" xfId="913"/>
    <cellStyle name="normálne 9 2 2 3" xfId="283"/>
    <cellStyle name="normálne 9 2 2 4" xfId="421"/>
    <cellStyle name="normálne 9 2 2 5" xfId="562"/>
    <cellStyle name="normálne 9 2 2 6" xfId="727"/>
    <cellStyle name="normálne 9 2 2 7" xfId="832"/>
    <cellStyle name="normálne 9 2 3" xfId="141"/>
    <cellStyle name="normálne 9 2 3 2" xfId="321"/>
    <cellStyle name="normálne 9 2 3 3" xfId="458"/>
    <cellStyle name="normálne 9 2 3 4" xfId="598"/>
    <cellStyle name="normálne 9 2 3 5" xfId="764"/>
    <cellStyle name="normálne 9 2 3 6" xfId="865"/>
    <cellStyle name="normálne 9 2 4" xfId="236"/>
    <cellStyle name="normálne 9 2 5" xfId="381"/>
    <cellStyle name="normálne 9 2 6" xfId="527"/>
    <cellStyle name="normálne 9 2 7" xfId="677"/>
    <cellStyle name="normálne 9 2 8" xfId="896"/>
    <cellStyle name="normálne 9 20" xfId="1109"/>
    <cellStyle name="normálne 9 21" xfId="1116"/>
    <cellStyle name="normálne 9 22" xfId="1123"/>
    <cellStyle name="normálne 9 23" xfId="1130"/>
    <cellStyle name="normálne 9 24" xfId="1137"/>
    <cellStyle name="normálne 9 25" xfId="1143"/>
    <cellStyle name="normálne 9 26" xfId="1149"/>
    <cellStyle name="normálne 9 27" xfId="1155"/>
    <cellStyle name="normálne 9 28" xfId="1161"/>
    <cellStyle name="normálne 9 3" xfId="71"/>
    <cellStyle name="normálne 9 3 2" xfId="113"/>
    <cellStyle name="normálne 9 3 2 2" xfId="187"/>
    <cellStyle name="normálne 9 3 2 2 2" xfId="367"/>
    <cellStyle name="normálne 9 3 2 2 3" xfId="504"/>
    <cellStyle name="normálne 9 3 2 2 4" xfId="644"/>
    <cellStyle name="normálne 9 3 2 2 5" xfId="810"/>
    <cellStyle name="normálne 9 3 2 2 6" xfId="970"/>
    <cellStyle name="normálne 9 3 2 3" xfId="294"/>
    <cellStyle name="normálne 9 3 2 4" xfId="432"/>
    <cellStyle name="normálne 9 3 2 5" xfId="573"/>
    <cellStyle name="normálne 9 3 2 6" xfId="738"/>
    <cellStyle name="normálne 9 3 2 7" xfId="898"/>
    <cellStyle name="normálne 9 3 3" xfId="152"/>
    <cellStyle name="normálne 9 3 3 2" xfId="332"/>
    <cellStyle name="normálne 9 3 3 3" xfId="469"/>
    <cellStyle name="normálne 9 3 3 4" xfId="609"/>
    <cellStyle name="normálne 9 3 3 5" xfId="775"/>
    <cellStyle name="normálne 9 3 3 6" xfId="920"/>
    <cellStyle name="normálne 9 3 4" xfId="254"/>
    <cellStyle name="normálne 9 3 5" xfId="396"/>
    <cellStyle name="normálne 9 3 6" xfId="538"/>
    <cellStyle name="normálne 9 3 7" xfId="701"/>
    <cellStyle name="normálne 9 3 8" xfId="852"/>
    <cellStyle name="normálne 9 4" xfId="91"/>
    <cellStyle name="normálne 9 4 2" xfId="165"/>
    <cellStyle name="normálne 9 4 2 2" xfId="345"/>
    <cellStyle name="normálne 9 4 2 3" xfId="482"/>
    <cellStyle name="normálne 9 4 2 4" xfId="622"/>
    <cellStyle name="normálne 9 4 2 5" xfId="788"/>
    <cellStyle name="normálne 9 4 2 6" xfId="869"/>
    <cellStyle name="normálne 9 4 3" xfId="272"/>
    <cellStyle name="normálne 9 4 4" xfId="410"/>
    <cellStyle name="normálne 9 4 5" xfId="551"/>
    <cellStyle name="normálne 9 4 6" xfId="716"/>
    <cellStyle name="normálne 9 4 7" xfId="963"/>
    <cellStyle name="normálne 9 5" xfId="130"/>
    <cellStyle name="normálne 9 5 2" xfId="310"/>
    <cellStyle name="normálne 9 5 3" xfId="447"/>
    <cellStyle name="normálne 9 5 4" xfId="587"/>
    <cellStyle name="normálne 9 5 5" xfId="753"/>
    <cellStyle name="normálne 9 5 6" xfId="954"/>
    <cellStyle name="normálne 9 6" xfId="220"/>
    <cellStyle name="normálne 9 7" xfId="376"/>
    <cellStyle name="normálne 9 8" xfId="255"/>
    <cellStyle name="normálne 9 9" xfId="664"/>
    <cellStyle name="normálne 9 9 2" xfId="996"/>
    <cellStyle name="normálne 9 9 3" xfId="1089"/>
    <cellStyle name="normální_CENY.XLS" xfId="13"/>
    <cellStyle name="Note" xfId="1232"/>
    <cellStyle name="Note 2" xfId="1382"/>
    <cellStyle name="Output" xfId="1259"/>
    <cellStyle name="Output 2" xfId="1387"/>
    <cellStyle name="Percentá" xfId="2" builtinId="5"/>
    <cellStyle name="percentá 10" xfId="1210"/>
    <cellStyle name="percentá 11" xfId="1211"/>
    <cellStyle name="percentá 12" xfId="1212"/>
    <cellStyle name="percentá 13" xfId="1219"/>
    <cellStyle name="percentá 13 2" xfId="1364"/>
    <cellStyle name="percentá 14" xfId="1213"/>
    <cellStyle name="percentá 15" xfId="1214"/>
    <cellStyle name="Percentá 16" xfId="14"/>
    <cellStyle name="percentá 17" xfId="1215"/>
    <cellStyle name="Percentá 18" xfId="1222"/>
    <cellStyle name="Percentá 19" xfId="1223"/>
    <cellStyle name="percentá 2" xfId="23"/>
    <cellStyle name="percentá 2 10" xfId="1050"/>
    <cellStyle name="percentá 2 11" xfId="1033"/>
    <cellStyle name="percentá 2 12" xfId="1065"/>
    <cellStyle name="percentá 2 13" xfId="1072"/>
    <cellStyle name="percentá 2 14" xfId="710"/>
    <cellStyle name="percentá 2 15" xfId="1101"/>
    <cellStyle name="percentá 2 16" xfId="1107"/>
    <cellStyle name="percentá 2 17" xfId="1114"/>
    <cellStyle name="percentá 2 18" xfId="1121"/>
    <cellStyle name="percentá 2 19" xfId="1128"/>
    <cellStyle name="percentá 2 2" xfId="39"/>
    <cellStyle name="percentá 2 2 2" xfId="77"/>
    <cellStyle name="percentá 2 20" xfId="1135"/>
    <cellStyle name="percentá 2 21" xfId="1141"/>
    <cellStyle name="percentá 2 22" xfId="1147"/>
    <cellStyle name="percentá 2 23" xfId="1153"/>
    <cellStyle name="percentá 2 24" xfId="1159"/>
    <cellStyle name="percentá 2 3" xfId="33"/>
    <cellStyle name="percentá 2 3 2" xfId="222"/>
    <cellStyle name="percentá 2 3 2 2" xfId="829"/>
    <cellStyle name="percentá 2 3 2 2 2" xfId="1331"/>
    <cellStyle name="percentá 2 3 2 3" xfId="840"/>
    <cellStyle name="percentá 2 3 2 3 2" xfId="1333"/>
    <cellStyle name="percentá 2 3 2 4" xfId="1309"/>
    <cellStyle name="percentá 2 3 3" xfId="265"/>
    <cellStyle name="percentá 2 3 3 2" xfId="849"/>
    <cellStyle name="percentá 2 3 3 2 2" xfId="1337"/>
    <cellStyle name="percentá 2 3 3 3" xfId="983"/>
    <cellStyle name="percentá 2 3 3 3 2" xfId="1351"/>
    <cellStyle name="percentá 2 3 3 4" xfId="1311"/>
    <cellStyle name="percentá 2 3 4" xfId="392"/>
    <cellStyle name="percentá 2 3 4 2" xfId="894"/>
    <cellStyle name="percentá 2 3 4 2 2" xfId="1343"/>
    <cellStyle name="percentá 2 3 4 3" xfId="946"/>
    <cellStyle name="percentá 2 3 4 3 2" xfId="1346"/>
    <cellStyle name="percentá 2 3 4 4" xfId="1316"/>
    <cellStyle name="percentá 2 3 5" xfId="679"/>
    <cellStyle name="percentá 2 3 5 2" xfId="1325"/>
    <cellStyle name="percentá 2 3 6" xfId="969"/>
    <cellStyle name="percentá 2 3 6 2" xfId="1348"/>
    <cellStyle name="percentá 2 3 7" xfId="1303"/>
    <cellStyle name="percentá 2 4" xfId="64"/>
    <cellStyle name="percentá 2 5" xfId="662"/>
    <cellStyle name="percentá 2 5 2" xfId="992"/>
    <cellStyle name="percentá 2 5 3" xfId="1085"/>
    <cellStyle name="percentá 2 6" xfId="986"/>
    <cellStyle name="percentá 2 7" xfId="1007"/>
    <cellStyle name="percentá 2 8" xfId="1017"/>
    <cellStyle name="percentá 2 9" xfId="1030"/>
    <cellStyle name="Percentá 20" xfId="1225"/>
    <cellStyle name="Percentá 21" xfId="1292"/>
    <cellStyle name="Percentá 22" xfId="1283"/>
    <cellStyle name="Percentá 23" xfId="1241"/>
    <cellStyle name="Percentá 24" xfId="1276"/>
    <cellStyle name="Percentá 25" xfId="1286"/>
    <cellStyle name="Percentá 26" xfId="1287"/>
    <cellStyle name="Percentá 27" xfId="1275"/>
    <cellStyle name="Percentá 28" xfId="1362"/>
    <cellStyle name="Percentá 29" xfId="1288"/>
    <cellStyle name="percentá 3" xfId="36"/>
    <cellStyle name="percentá 3 10" xfId="1024"/>
    <cellStyle name="percentá 3 11" xfId="1077"/>
    <cellStyle name="percentá 3 2" xfId="74"/>
    <cellStyle name="percentá 3 3" xfId="1000"/>
    <cellStyle name="percentá 3 4" xfId="1046"/>
    <cellStyle name="percentá 3 5" xfId="1034"/>
    <cellStyle name="percentá 3 6" xfId="1031"/>
    <cellStyle name="percentá 3 7" xfId="1019"/>
    <cellStyle name="percentá 3 8" xfId="1052"/>
    <cellStyle name="percentá 3 9" xfId="1042"/>
    <cellStyle name="Percentá 30" xfId="1369"/>
    <cellStyle name="Percentá 31" xfId="1372"/>
    <cellStyle name="Percentá 32" xfId="1370"/>
    <cellStyle name="Percentá 33" xfId="1374"/>
    <cellStyle name="Percentá 34" xfId="1386"/>
    <cellStyle name="Percentá 35" xfId="1376"/>
    <cellStyle name="Percentá 36" xfId="1383"/>
    <cellStyle name="Percentá 37" xfId="1388"/>
    <cellStyle name="percentá 4" xfId="44"/>
    <cellStyle name="percentá 5" xfId="58"/>
    <cellStyle name="percentá 6" xfId="85"/>
    <cellStyle name="percentá 7" xfId="124"/>
    <cellStyle name="percentá 8" xfId="199"/>
    <cellStyle name="percentá 9" xfId="201"/>
    <cellStyle name="percentá 9 2" xfId="379"/>
    <cellStyle name="percentá 9 2 2" xfId="1314"/>
    <cellStyle name="percentá 9 3" xfId="516"/>
    <cellStyle name="percentá 9 3 2" xfId="1319"/>
    <cellStyle name="percentá 9 4" xfId="655"/>
    <cellStyle name="percentá 9 4 2" xfId="1321"/>
    <cellStyle name="percentá 9 5" xfId="822"/>
    <cellStyle name="percentá 9 5 2" xfId="1328"/>
    <cellStyle name="percentá 9 6" xfId="872"/>
    <cellStyle name="percentá 9 6 2" xfId="1339"/>
    <cellStyle name="percentá 9 7" xfId="1305"/>
    <cellStyle name="Poznámka 2" xfId="1207"/>
    <cellStyle name="Poznámka 3" xfId="1203"/>
    <cellStyle name="Poznámka 4" xfId="1205"/>
    <cellStyle name="Poznámka 5" xfId="1204"/>
    <cellStyle name="Poznámka 6" xfId="1206"/>
    <cellStyle name="Poznámka 7" xfId="1202"/>
    <cellStyle name="Prepojená bunka 2" xfId="1173"/>
    <cellStyle name="SAPBEXaggData" xfId="19"/>
    <cellStyle name="SAPBEXaggData 2" xfId="1377"/>
    <cellStyle name="Spolu 2" xfId="1177"/>
    <cellStyle name="Text upozornenia 2" xfId="1175"/>
    <cellStyle name="Title" xfId="1278"/>
    <cellStyle name="Titul 2" xfId="1162"/>
    <cellStyle name="Total" xfId="1234"/>
    <cellStyle name="Total 2" xfId="1385"/>
    <cellStyle name="Vstup 2" xfId="1170"/>
    <cellStyle name="Výpočet 2" xfId="1172"/>
    <cellStyle name="Výstup 2" xfId="1171"/>
    <cellStyle name="Vysvetľujúci text 2" xfId="1176"/>
    <cellStyle name="Warning Text" xfId="1365"/>
    <cellStyle name="Zlá 2" xfId="1168"/>
    <cellStyle name="Zvýraznenie1 2" xfId="1178"/>
    <cellStyle name="Zvýraznenie2 2" xfId="1182"/>
    <cellStyle name="Zvýraznenie3 2" xfId="1186"/>
    <cellStyle name="Zvýraznenie4 2" xfId="1190"/>
    <cellStyle name="Zvýraznenie5 2" xfId="1194"/>
    <cellStyle name="Zvýraznenie6 2" xfId="1198"/>
  </cellStyles>
  <dxfs count="0"/>
  <tableStyles count="0" defaultTableStyle="TableStyleMedium9" defaultPivotStyle="PivotStyleLight16"/>
  <colors>
    <mruColors>
      <color rgb="FFFFFFCC"/>
      <color rgb="FF99CCFF"/>
      <color rgb="FF95B3D7"/>
      <color rgb="FF3399FF"/>
      <color rgb="FFFFFF66"/>
      <color rgb="FFFFFF00"/>
      <color rgb="FF99FFCC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Prínosy p</a:t>
            </a:r>
            <a:r>
              <a:rPr lang="sk-SK"/>
              <a:t>rojektu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 Ekonomická analýza'!$B$26:$B$27</c:f>
              <c:strCache>
                <c:ptCount val="2"/>
                <c:pt idx="0">
                  <c:v>Strata produktivity - chôdzou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analýza'!$C$26:$C$27</c:f>
              <c:numCache>
                <c:formatCode>#,##0</c:formatCode>
                <c:ptCount val="2"/>
                <c:pt idx="0">
                  <c:v>-2749.3254652348583</c:v>
                </c:pt>
                <c:pt idx="1">
                  <c:v>-45677.181761907763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F-42F8-9079-2EBB18F424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'08 Ekonomická analýza'!$B$26:$B$27</c:f>
              <c:strCache>
                <c:ptCount val="2"/>
                <c:pt idx="0">
                  <c:v>Strata produktivity - chôdzou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analýza'!$D$26:$D$27</c:f>
              <c:numCache>
                <c:formatCode>0.00%</c:formatCode>
                <c:ptCount val="2"/>
                <c:pt idx="0">
                  <c:v>5.6773152198221849E-2</c:v>
                </c:pt>
                <c:pt idx="1">
                  <c:v>0.94322684780177823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F-42F8-9079-2EBB18F4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73"/>
        <c:axId val="210644600"/>
        <c:axId val="210643944"/>
      </c:barChart>
      <c:catAx>
        <c:axId val="2106446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3944"/>
        <c:crosses val="autoZero"/>
        <c:auto val="1"/>
        <c:lblAlgn val="ctr"/>
        <c:lblOffset val="100"/>
        <c:noMultiLvlLbl val="0"/>
      </c:catAx>
      <c:valAx>
        <c:axId val="2106439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25</xdr:row>
      <xdr:rowOff>98425</xdr:rowOff>
    </xdr:from>
    <xdr:to>
      <xdr:col>17</xdr:col>
      <xdr:colOff>530225</xdr:colOff>
      <xdr:row>42</xdr:row>
      <xdr:rowOff>130175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z.gov.sk/zmluva/5335625/" TargetMode="External"/><Relationship Id="rId2" Type="http://schemas.openxmlformats.org/officeDocument/2006/relationships/hyperlink" Target="https://www.crz.gov.sk/zmluva/5335625/" TargetMode="External"/><Relationship Id="rId1" Type="http://schemas.openxmlformats.org/officeDocument/2006/relationships/hyperlink" Target="https://voda.tzb-info.cz/tabulky-a-vypocty/94-smerna-cisla-rocni-potreby-vody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AQ52"/>
  <sheetViews>
    <sheetView zoomScaleNormal="100" workbookViewId="0">
      <selection activeCell="H40" sqref="H40"/>
    </sheetView>
  </sheetViews>
  <sheetFormatPr defaultColWidth="6.85546875" defaultRowHeight="11.25" x14ac:dyDescent="0.2"/>
  <cols>
    <col min="1" max="1" width="2.7109375" style="1" customWidth="1"/>
    <col min="2" max="2" width="50.28515625" style="1" customWidth="1"/>
    <col min="3" max="9" width="13.7109375" style="1" customWidth="1"/>
    <col min="10" max="10" width="11.85546875" style="1" customWidth="1"/>
    <col min="11" max="11" width="10.5703125" style="1" customWidth="1"/>
    <col min="12" max="12" width="11.42578125" style="1" customWidth="1"/>
    <col min="13" max="13" width="14.5703125" style="1" customWidth="1"/>
    <col min="14" max="43" width="7.7109375" style="1" customWidth="1"/>
    <col min="44" max="16384" width="6.85546875" style="1"/>
  </cols>
  <sheetData>
    <row r="1" spans="2:13" ht="12" thickBot="1" x14ac:dyDescent="0.25"/>
    <row r="2" spans="2:13" x14ac:dyDescent="0.2">
      <c r="B2" s="2" t="s">
        <v>1</v>
      </c>
      <c r="C2" s="3"/>
      <c r="D2" s="3"/>
      <c r="E2" s="3"/>
      <c r="F2" s="3"/>
      <c r="G2" s="3"/>
      <c r="H2" s="4"/>
      <c r="I2" s="5"/>
      <c r="J2" s="5"/>
      <c r="K2" s="5"/>
      <c r="L2" s="5"/>
      <c r="M2" s="5"/>
    </row>
    <row r="3" spans="2:13" x14ac:dyDescent="0.2">
      <c r="B3" s="6" t="s">
        <v>180</v>
      </c>
      <c r="C3" s="7"/>
      <c r="D3" s="7"/>
      <c r="E3" s="7"/>
      <c r="F3" s="8"/>
      <c r="G3" s="7"/>
      <c r="H3" s="9"/>
      <c r="I3" s="5"/>
      <c r="J3" s="5"/>
      <c r="K3" s="5"/>
      <c r="L3" s="5"/>
      <c r="M3" s="5"/>
    </row>
    <row r="4" spans="2:13" x14ac:dyDescent="0.2">
      <c r="B4" s="6" t="s">
        <v>184</v>
      </c>
      <c r="C4" s="7"/>
      <c r="D4" s="7"/>
      <c r="E4" s="7"/>
      <c r="F4" s="7"/>
      <c r="G4" s="5"/>
      <c r="H4" s="9"/>
      <c r="I4" s="5"/>
      <c r="J4" s="5"/>
      <c r="K4" s="5"/>
      <c r="L4" s="5"/>
      <c r="M4" s="5"/>
    </row>
    <row r="5" spans="2:13" x14ac:dyDescent="0.2">
      <c r="B5" s="6" t="s">
        <v>72</v>
      </c>
      <c r="C5" s="7"/>
      <c r="D5" s="7"/>
      <c r="E5" s="7"/>
      <c r="F5" s="7"/>
      <c r="G5" s="7"/>
      <c r="H5" s="9"/>
      <c r="I5" s="5"/>
      <c r="J5" s="5"/>
      <c r="K5" s="5"/>
      <c r="L5" s="5"/>
      <c r="M5" s="5"/>
    </row>
    <row r="6" spans="2:13" ht="12" thickBot="1" x14ac:dyDescent="0.25">
      <c r="B6" s="10" t="s">
        <v>179</v>
      </c>
      <c r="C6" s="11"/>
      <c r="D6" s="11"/>
      <c r="E6" s="11"/>
      <c r="F6" s="11"/>
      <c r="G6" s="11"/>
      <c r="H6" s="12"/>
      <c r="I6" s="5"/>
      <c r="J6" s="5"/>
      <c r="K6" s="5"/>
      <c r="L6" s="5"/>
      <c r="M6" s="5"/>
    </row>
    <row r="8" spans="2:13" ht="17.25" customHeight="1" x14ac:dyDescent="0.2">
      <c r="B8" s="13" t="s">
        <v>38</v>
      </c>
      <c r="C8" s="13"/>
    </row>
    <row r="9" spans="2:13" x14ac:dyDescent="0.2">
      <c r="B9" s="14" t="s">
        <v>2</v>
      </c>
      <c r="C9" s="15">
        <v>0.04</v>
      </c>
      <c r="E9" s="16"/>
    </row>
    <row r="10" spans="2:13" x14ac:dyDescent="0.2">
      <c r="B10" s="17" t="s">
        <v>3</v>
      </c>
      <c r="C10" s="18">
        <v>0.05</v>
      </c>
    </row>
    <row r="11" spans="2:13" x14ac:dyDescent="0.2">
      <c r="B11" s="17" t="s">
        <v>4</v>
      </c>
      <c r="C11" s="19">
        <f>C13</f>
        <v>2022</v>
      </c>
      <c r="D11" s="1" t="s">
        <v>7</v>
      </c>
    </row>
    <row r="12" spans="2:13" x14ac:dyDescent="0.2">
      <c r="B12" s="17" t="s">
        <v>116</v>
      </c>
      <c r="C12" s="20">
        <v>30</v>
      </c>
    </row>
    <row r="13" spans="2:13" x14ac:dyDescent="0.2">
      <c r="B13" s="17" t="s">
        <v>209</v>
      </c>
      <c r="C13" s="21">
        <v>2022</v>
      </c>
      <c r="D13" s="1" t="s">
        <v>117</v>
      </c>
    </row>
    <row r="14" spans="2:13" x14ac:dyDescent="0.2">
      <c r="B14" s="17" t="s">
        <v>56</v>
      </c>
      <c r="C14" s="21">
        <v>2026</v>
      </c>
      <c r="D14" s="22" t="s">
        <v>177</v>
      </c>
      <c r="E14" s="23">
        <f>C14+1</f>
        <v>2027</v>
      </c>
      <c r="F14" s="24" t="s">
        <v>178</v>
      </c>
    </row>
    <row r="15" spans="2:13" x14ac:dyDescent="0.2">
      <c r="B15" s="17" t="s">
        <v>118</v>
      </c>
      <c r="C15" s="21">
        <v>2027</v>
      </c>
      <c r="F15" s="25" t="s">
        <v>183</v>
      </c>
    </row>
    <row r="16" spans="2:13" x14ac:dyDescent="0.2">
      <c r="B16" s="17" t="s">
        <v>119</v>
      </c>
      <c r="C16" s="19">
        <f>C13+C12-1</f>
        <v>2051</v>
      </c>
    </row>
    <row r="17" spans="2:42" x14ac:dyDescent="0.2">
      <c r="B17" s="17" t="s">
        <v>5</v>
      </c>
      <c r="C17" s="20" t="s">
        <v>0</v>
      </c>
    </row>
    <row r="20" spans="2:42" ht="17.25" customHeight="1" x14ac:dyDescent="0.2">
      <c r="B20" s="26" t="s">
        <v>63</v>
      </c>
      <c r="C20" s="27">
        <v>2010</v>
      </c>
      <c r="D20" s="27">
        <v>2011</v>
      </c>
      <c r="E20" s="27">
        <v>2012</v>
      </c>
      <c r="F20" s="27">
        <v>2013</v>
      </c>
      <c r="G20" s="27">
        <v>2014</v>
      </c>
      <c r="H20" s="28">
        <v>2015</v>
      </c>
      <c r="I20" s="28">
        <v>2016</v>
      </c>
      <c r="J20" s="28">
        <v>2017</v>
      </c>
      <c r="K20" s="28">
        <v>2018</v>
      </c>
      <c r="L20" s="28">
        <v>2019</v>
      </c>
      <c r="M20" s="28">
        <v>2020</v>
      </c>
      <c r="N20" s="28">
        <v>2021</v>
      </c>
      <c r="O20" s="28">
        <v>2022</v>
      </c>
    </row>
    <row r="21" spans="2:42" x14ac:dyDescent="0.2">
      <c r="B21" s="20" t="s">
        <v>64</v>
      </c>
      <c r="C21" s="29">
        <f>CPI!E14/100</f>
        <v>9.6309892889521187E-3</v>
      </c>
      <c r="D21" s="29">
        <f>CPI!F14/100</f>
        <v>3.908765900839728E-2</v>
      </c>
      <c r="E21" s="29">
        <f>CPI!G14/100</f>
        <v>3.6150362463793551E-2</v>
      </c>
      <c r="F21" s="29">
        <f>CPI!H14/100</f>
        <v>1.3889746916249779E-2</v>
      </c>
      <c r="G21" s="29">
        <f>CPI!I14/100</f>
        <v>-6.9055864163058978E-4</v>
      </c>
      <c r="H21" s="29">
        <f>CPI!J14/100</f>
        <v>-3.2875013973152623E-3</v>
      </c>
      <c r="I21" s="29">
        <f>CPI!K14/100</f>
        <v>-5.1947654708678348E-3</v>
      </c>
      <c r="J21" s="29">
        <f>CPI!L14/100</f>
        <v>1.3083863171367671E-2</v>
      </c>
      <c r="K21" s="29">
        <f>CPI!M14/100</f>
        <v>2.4942252144670052E-2</v>
      </c>
      <c r="L21" s="29">
        <f>CPI!N14/100</f>
        <v>2.6775097969561568E-2</v>
      </c>
      <c r="M21" s="29">
        <f>CPI!O14/100</f>
        <v>1.9325023003922803E-2</v>
      </c>
      <c r="N21" s="29">
        <f>CPI!P14/100</f>
        <v>1.514327397648918E-2</v>
      </c>
      <c r="O21" s="29">
        <f>CPI!Q14/100</f>
        <v>2.8574717640789116E-2</v>
      </c>
    </row>
    <row r="22" spans="2:42" x14ac:dyDescent="0.2">
      <c r="B22" s="30" t="s">
        <v>193</v>
      </c>
      <c r="C22" s="31"/>
      <c r="D22" s="31"/>
      <c r="E22" s="32"/>
      <c r="F22" s="32"/>
      <c r="G22" s="32"/>
      <c r="H22" s="33"/>
      <c r="I22" s="33"/>
    </row>
    <row r="23" spans="2:42" x14ac:dyDescent="0.2">
      <c r="B23" s="31"/>
      <c r="C23" s="31"/>
      <c r="D23" s="31"/>
      <c r="E23" s="32"/>
      <c r="F23" s="32"/>
      <c r="G23" s="32"/>
      <c r="H23" s="33"/>
      <c r="I23" s="33"/>
    </row>
    <row r="25" spans="2:42" x14ac:dyDescent="0.2">
      <c r="B25" s="13" t="s">
        <v>73</v>
      </c>
      <c r="C25" s="34"/>
      <c r="D25" s="35">
        <v>2022</v>
      </c>
      <c r="E25" s="35">
        <v>2023</v>
      </c>
      <c r="F25" s="35">
        <v>2024</v>
      </c>
      <c r="G25" s="35">
        <v>2025</v>
      </c>
      <c r="H25" s="35">
        <v>2026</v>
      </c>
      <c r="I25" s="35">
        <v>2027</v>
      </c>
      <c r="J25" s="35">
        <v>2028</v>
      </c>
      <c r="K25" s="35">
        <v>2029</v>
      </c>
      <c r="L25" s="35">
        <v>2030</v>
      </c>
      <c r="M25" s="35">
        <v>2031</v>
      </c>
      <c r="N25" s="35">
        <v>2032</v>
      </c>
      <c r="O25" s="35">
        <v>2033</v>
      </c>
      <c r="P25" s="35">
        <v>2034</v>
      </c>
      <c r="Q25" s="35">
        <v>2035</v>
      </c>
      <c r="R25" s="35">
        <v>2036</v>
      </c>
      <c r="S25" s="35">
        <v>2037</v>
      </c>
      <c r="T25" s="35">
        <v>2038</v>
      </c>
      <c r="U25" s="35">
        <v>2039</v>
      </c>
      <c r="V25" s="35">
        <v>2040</v>
      </c>
      <c r="W25" s="35">
        <v>2041</v>
      </c>
      <c r="X25" s="35">
        <v>2042</v>
      </c>
      <c r="Y25" s="35">
        <v>2043</v>
      </c>
      <c r="Z25" s="35">
        <v>2044</v>
      </c>
      <c r="AA25" s="35">
        <v>2045</v>
      </c>
      <c r="AB25" s="35">
        <v>2046</v>
      </c>
      <c r="AC25" s="35">
        <v>2047</v>
      </c>
      <c r="AD25" s="35">
        <v>2048</v>
      </c>
      <c r="AE25" s="35">
        <v>2049</v>
      </c>
      <c r="AF25" s="35">
        <v>2050</v>
      </c>
      <c r="AG25" s="35">
        <v>2051</v>
      </c>
      <c r="AH25" s="35">
        <v>2052</v>
      </c>
      <c r="AI25" s="35">
        <v>2053</v>
      </c>
      <c r="AJ25" s="35">
        <v>2054</v>
      </c>
      <c r="AK25" s="35">
        <v>2055</v>
      </c>
      <c r="AL25" s="35">
        <v>2056</v>
      </c>
      <c r="AM25" s="35">
        <v>2057</v>
      </c>
      <c r="AN25" s="35">
        <v>2058</v>
      </c>
      <c r="AO25" s="35">
        <v>2059</v>
      </c>
      <c r="AP25" s="35">
        <v>2060</v>
      </c>
    </row>
    <row r="26" spans="2:42" x14ac:dyDescent="0.2">
      <c r="B26" s="13" t="s">
        <v>29</v>
      </c>
      <c r="C26" s="17"/>
      <c r="D26" s="36">
        <f>3.9%</f>
        <v>3.9E-2</v>
      </c>
      <c r="E26" s="36">
        <f>2.5%</f>
        <v>2.5000000000000001E-2</v>
      </c>
      <c r="F26" s="36">
        <f>0.7%</f>
        <v>6.9999999999999993E-3</v>
      </c>
      <c r="G26" s="36">
        <f>1.7%</f>
        <v>1.7000000000000001E-2</v>
      </c>
      <c r="H26" s="36">
        <f t="shared" ref="H26:L26" si="0">1.7%</f>
        <v>1.7000000000000001E-2</v>
      </c>
      <c r="I26" s="36">
        <f t="shared" si="0"/>
        <v>1.7000000000000001E-2</v>
      </c>
      <c r="J26" s="36">
        <f t="shared" si="0"/>
        <v>1.7000000000000001E-2</v>
      </c>
      <c r="K26" s="36">
        <f t="shared" si="0"/>
        <v>1.7000000000000001E-2</v>
      </c>
      <c r="L26" s="36">
        <f t="shared" si="0"/>
        <v>1.7000000000000001E-2</v>
      </c>
      <c r="M26" s="36">
        <f>1.2%</f>
        <v>1.2E-2</v>
      </c>
      <c r="N26" s="36">
        <f t="shared" ref="N26:V26" si="1">1.2%</f>
        <v>1.2E-2</v>
      </c>
      <c r="O26" s="36">
        <f t="shared" si="1"/>
        <v>1.2E-2</v>
      </c>
      <c r="P26" s="36">
        <f t="shared" si="1"/>
        <v>1.2E-2</v>
      </c>
      <c r="Q26" s="36">
        <f t="shared" si="1"/>
        <v>1.2E-2</v>
      </c>
      <c r="R26" s="36">
        <f t="shared" si="1"/>
        <v>1.2E-2</v>
      </c>
      <c r="S26" s="36">
        <f t="shared" si="1"/>
        <v>1.2E-2</v>
      </c>
      <c r="T26" s="36">
        <f t="shared" si="1"/>
        <v>1.2E-2</v>
      </c>
      <c r="U26" s="36">
        <f t="shared" si="1"/>
        <v>1.2E-2</v>
      </c>
      <c r="V26" s="36">
        <f t="shared" si="1"/>
        <v>1.2E-2</v>
      </c>
      <c r="W26" s="36">
        <f>1%</f>
        <v>0.01</v>
      </c>
      <c r="X26" s="36">
        <f>1%</f>
        <v>0.01</v>
      </c>
      <c r="Y26" s="36">
        <f>1%</f>
        <v>0.01</v>
      </c>
      <c r="Z26" s="36">
        <f>1%</f>
        <v>0.01</v>
      </c>
      <c r="AA26" s="36">
        <f>1%</f>
        <v>0.01</v>
      </c>
      <c r="AB26" s="36">
        <f>1%</f>
        <v>0.01</v>
      </c>
      <c r="AC26" s="36">
        <f>1%</f>
        <v>0.01</v>
      </c>
      <c r="AD26" s="36">
        <f>1%</f>
        <v>0.01</v>
      </c>
      <c r="AE26" s="36">
        <f>1%</f>
        <v>0.01</v>
      </c>
      <c r="AF26" s="36">
        <f>1%</f>
        <v>0.01</v>
      </c>
      <c r="AG26" s="36">
        <f>1.3%</f>
        <v>1.3000000000000001E-2</v>
      </c>
      <c r="AH26" s="36">
        <f t="shared" ref="AH26:AP26" si="2">1.3%</f>
        <v>1.3000000000000001E-2</v>
      </c>
      <c r="AI26" s="36">
        <f t="shared" si="2"/>
        <v>1.3000000000000001E-2</v>
      </c>
      <c r="AJ26" s="36">
        <f t="shared" si="2"/>
        <v>1.3000000000000001E-2</v>
      </c>
      <c r="AK26" s="36">
        <f t="shared" si="2"/>
        <v>1.3000000000000001E-2</v>
      </c>
      <c r="AL26" s="36">
        <f t="shared" si="2"/>
        <v>1.3000000000000001E-2</v>
      </c>
      <c r="AM26" s="36">
        <f t="shared" si="2"/>
        <v>1.3000000000000001E-2</v>
      </c>
      <c r="AN26" s="36">
        <f t="shared" si="2"/>
        <v>1.3000000000000001E-2</v>
      </c>
      <c r="AO26" s="36">
        <f t="shared" si="2"/>
        <v>1.3000000000000001E-2</v>
      </c>
      <c r="AP26" s="36">
        <f t="shared" si="2"/>
        <v>1.3000000000000001E-2</v>
      </c>
    </row>
    <row r="27" spans="2:42" x14ac:dyDescent="0.2">
      <c r="B27" s="30" t="s">
        <v>65</v>
      </c>
    </row>
    <row r="28" spans="2:42" x14ac:dyDescent="0.2">
      <c r="B28" s="30"/>
    </row>
    <row r="30" spans="2:42" ht="17.25" customHeight="1" x14ac:dyDescent="0.2">
      <c r="B30" s="13" t="s">
        <v>6</v>
      </c>
      <c r="C30" s="13"/>
      <c r="E30" s="1" t="s">
        <v>78</v>
      </c>
    </row>
    <row r="31" spans="2:42" x14ac:dyDescent="0.2">
      <c r="B31" s="14" t="s">
        <v>57</v>
      </c>
      <c r="C31" s="37">
        <v>0.9</v>
      </c>
      <c r="E31" s="1" t="s">
        <v>79</v>
      </c>
    </row>
    <row r="32" spans="2:42" x14ac:dyDescent="0.2">
      <c r="B32" s="17" t="s">
        <v>76</v>
      </c>
      <c r="C32" s="38">
        <v>0.5</v>
      </c>
    </row>
    <row r="33" spans="2:43" x14ac:dyDescent="0.2">
      <c r="B33" s="17" t="s">
        <v>74</v>
      </c>
      <c r="C33" s="38">
        <v>0.6</v>
      </c>
    </row>
    <row r="34" spans="2:43" x14ac:dyDescent="0.2">
      <c r="B34" s="17" t="s">
        <v>58</v>
      </c>
      <c r="C34" s="38">
        <v>1</v>
      </c>
    </row>
    <row r="35" spans="2:43" x14ac:dyDescent="0.2">
      <c r="B35" s="30" t="s">
        <v>75</v>
      </c>
      <c r="C35" s="39"/>
    </row>
    <row r="36" spans="2:43" x14ac:dyDescent="0.2">
      <c r="B36" s="30"/>
      <c r="C36" s="39"/>
    </row>
    <row r="37" spans="2:43" ht="17.25" customHeight="1" x14ac:dyDescent="0.2">
      <c r="B37" s="26" t="s">
        <v>77</v>
      </c>
      <c r="C37" s="40">
        <v>0.9</v>
      </c>
      <c r="E37" s="1" t="s">
        <v>80</v>
      </c>
    </row>
    <row r="38" spans="2:43" x14ac:dyDescent="0.2">
      <c r="B38" s="30" t="s">
        <v>75</v>
      </c>
    </row>
    <row r="40" spans="2:43" ht="34.5" customHeight="1" x14ac:dyDescent="0.2">
      <c r="B40" s="41" t="s">
        <v>59</v>
      </c>
      <c r="C40" s="42" t="s">
        <v>129</v>
      </c>
      <c r="D40" s="42" t="s">
        <v>60</v>
      </c>
      <c r="E40" s="42" t="s">
        <v>61</v>
      </c>
    </row>
    <row r="41" spans="2:43" x14ac:dyDescent="0.2">
      <c r="B41" s="17" t="s">
        <v>81</v>
      </c>
      <c r="C41" s="43">
        <v>7.2999999999999995E-2</v>
      </c>
      <c r="D41" s="43">
        <v>0.24399999999999999</v>
      </c>
      <c r="E41" s="43">
        <v>0.68300000000000005</v>
      </c>
      <c r="F41" s="44">
        <f>SUM(C41:E41)</f>
        <v>1</v>
      </c>
    </row>
    <row r="42" spans="2:43" x14ac:dyDescent="0.2">
      <c r="B42" s="17" t="s">
        <v>67</v>
      </c>
      <c r="C42" s="43">
        <v>3.6999999999999998E-2</v>
      </c>
      <c r="D42" s="43">
        <v>0.33800000000000002</v>
      </c>
      <c r="E42" s="43">
        <v>0.625</v>
      </c>
      <c r="F42" s="44">
        <f t="shared" ref="F42:F44" si="3">SUM(C42:E42)</f>
        <v>1</v>
      </c>
    </row>
    <row r="43" spans="2:43" x14ac:dyDescent="0.2">
      <c r="B43" s="17" t="s">
        <v>62</v>
      </c>
      <c r="C43" s="43">
        <v>3.7999999999999999E-2</v>
      </c>
      <c r="D43" s="43">
        <v>0.39200000000000002</v>
      </c>
      <c r="E43" s="43">
        <v>0.56999999999999995</v>
      </c>
      <c r="F43" s="44">
        <f t="shared" si="3"/>
        <v>1</v>
      </c>
    </row>
    <row r="44" spans="2:43" x14ac:dyDescent="0.2">
      <c r="B44" s="17" t="s">
        <v>82</v>
      </c>
      <c r="C44" s="43">
        <v>4.2999999999999997E-2</v>
      </c>
      <c r="D44" s="43">
        <v>0.25600000000000001</v>
      </c>
      <c r="E44" s="43">
        <v>0.70099999999999996</v>
      </c>
      <c r="F44" s="44">
        <f t="shared" si="3"/>
        <v>1</v>
      </c>
    </row>
    <row r="45" spans="2:43" x14ac:dyDescent="0.2">
      <c r="B45" s="30" t="s">
        <v>66</v>
      </c>
    </row>
    <row r="47" spans="2:43" ht="17.25" customHeight="1" x14ac:dyDescent="0.2">
      <c r="B47" s="45" t="s">
        <v>85</v>
      </c>
      <c r="C47" s="35">
        <v>2021</v>
      </c>
      <c r="D47" s="35">
        <v>2022</v>
      </c>
      <c r="E47" s="35">
        <v>2023</v>
      </c>
      <c r="F47" s="35">
        <v>2024</v>
      </c>
      <c r="G47" s="35">
        <v>2025</v>
      </c>
      <c r="H47" s="35">
        <v>2026</v>
      </c>
      <c r="I47" s="35">
        <v>2027</v>
      </c>
      <c r="J47" s="35">
        <v>2028</v>
      </c>
      <c r="K47" s="35">
        <v>2029</v>
      </c>
      <c r="L47" s="35">
        <v>2030</v>
      </c>
      <c r="M47" s="35">
        <v>2031</v>
      </c>
      <c r="N47" s="35">
        <v>2032</v>
      </c>
      <c r="O47" s="35">
        <v>2033</v>
      </c>
      <c r="P47" s="35">
        <v>2034</v>
      </c>
      <c r="Q47" s="35">
        <v>2035</v>
      </c>
      <c r="R47" s="35">
        <v>2036</v>
      </c>
      <c r="S47" s="35">
        <v>2037</v>
      </c>
      <c r="T47" s="35">
        <v>2038</v>
      </c>
      <c r="U47" s="35">
        <v>2039</v>
      </c>
      <c r="V47" s="35">
        <v>2040</v>
      </c>
      <c r="W47" s="35">
        <v>2041</v>
      </c>
      <c r="X47" s="35">
        <v>2042</v>
      </c>
      <c r="Y47" s="35">
        <v>2043</v>
      </c>
      <c r="Z47" s="35">
        <v>2044</v>
      </c>
      <c r="AA47" s="35">
        <v>2045</v>
      </c>
      <c r="AB47" s="35">
        <v>2046</v>
      </c>
      <c r="AC47" s="35">
        <v>2047</v>
      </c>
      <c r="AD47" s="35">
        <v>2048</v>
      </c>
      <c r="AE47" s="35">
        <v>2049</v>
      </c>
      <c r="AF47" s="35">
        <v>2050</v>
      </c>
      <c r="AG47" s="35">
        <v>2051</v>
      </c>
      <c r="AH47" s="35">
        <v>2052</v>
      </c>
      <c r="AI47" s="35">
        <v>2053</v>
      </c>
      <c r="AJ47" s="35">
        <v>2054</v>
      </c>
      <c r="AK47" s="35">
        <v>2055</v>
      </c>
      <c r="AL47" s="35">
        <v>2056</v>
      </c>
      <c r="AM47" s="35">
        <v>2057</v>
      </c>
      <c r="AN47" s="35">
        <v>2058</v>
      </c>
      <c r="AO47" s="35">
        <v>2059</v>
      </c>
      <c r="AP47" s="35">
        <v>2060</v>
      </c>
    </row>
    <row r="48" spans="2:43" x14ac:dyDescent="0.2">
      <c r="B48" s="46" t="s">
        <v>86</v>
      </c>
      <c r="C48" s="47">
        <f>15.71</f>
        <v>15.71</v>
      </c>
      <c r="D48" s="47">
        <f t="shared" ref="D48:AP48" si="4">ROUND(C48*(1+(0.7*D26)),2)</f>
        <v>16.14</v>
      </c>
      <c r="E48" s="47">
        <f t="shared" si="4"/>
        <v>16.420000000000002</v>
      </c>
      <c r="F48" s="48">
        <f t="shared" si="4"/>
        <v>16.5</v>
      </c>
      <c r="G48" s="48">
        <f t="shared" si="4"/>
        <v>16.7</v>
      </c>
      <c r="H48" s="48">
        <f t="shared" si="4"/>
        <v>16.899999999999999</v>
      </c>
      <c r="I48" s="48">
        <f t="shared" si="4"/>
        <v>17.100000000000001</v>
      </c>
      <c r="J48" s="48">
        <f t="shared" si="4"/>
        <v>17.3</v>
      </c>
      <c r="K48" s="48">
        <f t="shared" si="4"/>
        <v>17.510000000000002</v>
      </c>
      <c r="L48" s="48">
        <f t="shared" si="4"/>
        <v>17.72</v>
      </c>
      <c r="M48" s="48">
        <f t="shared" si="4"/>
        <v>17.87</v>
      </c>
      <c r="N48" s="48">
        <f t="shared" si="4"/>
        <v>18.02</v>
      </c>
      <c r="O48" s="48">
        <f t="shared" si="4"/>
        <v>18.170000000000002</v>
      </c>
      <c r="P48" s="48">
        <f t="shared" si="4"/>
        <v>18.32</v>
      </c>
      <c r="Q48" s="48">
        <f t="shared" si="4"/>
        <v>18.47</v>
      </c>
      <c r="R48" s="48">
        <f t="shared" si="4"/>
        <v>18.63</v>
      </c>
      <c r="S48" s="48">
        <f t="shared" si="4"/>
        <v>18.79</v>
      </c>
      <c r="T48" s="48">
        <f t="shared" si="4"/>
        <v>18.95</v>
      </c>
      <c r="U48" s="48">
        <f t="shared" si="4"/>
        <v>19.11</v>
      </c>
      <c r="V48" s="48">
        <f t="shared" si="4"/>
        <v>19.27</v>
      </c>
      <c r="W48" s="48">
        <f t="shared" si="4"/>
        <v>19.399999999999999</v>
      </c>
      <c r="X48" s="48">
        <f t="shared" si="4"/>
        <v>19.54</v>
      </c>
      <c r="Y48" s="48">
        <f t="shared" si="4"/>
        <v>19.68</v>
      </c>
      <c r="Z48" s="48">
        <f t="shared" si="4"/>
        <v>19.82</v>
      </c>
      <c r="AA48" s="48">
        <f t="shared" si="4"/>
        <v>19.96</v>
      </c>
      <c r="AB48" s="48">
        <f t="shared" si="4"/>
        <v>20.100000000000001</v>
      </c>
      <c r="AC48" s="48">
        <f t="shared" si="4"/>
        <v>20.239999999999998</v>
      </c>
      <c r="AD48" s="48">
        <f t="shared" si="4"/>
        <v>20.38</v>
      </c>
      <c r="AE48" s="48">
        <f t="shared" si="4"/>
        <v>20.52</v>
      </c>
      <c r="AF48" s="48">
        <f t="shared" si="4"/>
        <v>20.66</v>
      </c>
      <c r="AG48" s="48">
        <f t="shared" si="4"/>
        <v>20.85</v>
      </c>
      <c r="AH48" s="48">
        <f t="shared" si="4"/>
        <v>21.04</v>
      </c>
      <c r="AI48" s="48">
        <f t="shared" si="4"/>
        <v>21.23</v>
      </c>
      <c r="AJ48" s="48">
        <f t="shared" si="4"/>
        <v>21.42</v>
      </c>
      <c r="AK48" s="48">
        <f t="shared" si="4"/>
        <v>21.61</v>
      </c>
      <c r="AL48" s="48">
        <f t="shared" si="4"/>
        <v>21.81</v>
      </c>
      <c r="AM48" s="48">
        <f t="shared" si="4"/>
        <v>22.01</v>
      </c>
      <c r="AN48" s="48">
        <f t="shared" si="4"/>
        <v>22.21</v>
      </c>
      <c r="AO48" s="48">
        <f t="shared" si="4"/>
        <v>22.41</v>
      </c>
      <c r="AP48" s="48">
        <f t="shared" si="4"/>
        <v>22.61</v>
      </c>
      <c r="AQ48" s="49">
        <f>SUM(C48:AP48)</f>
        <v>771.09999999999991</v>
      </c>
    </row>
    <row r="49" spans="2:43" x14ac:dyDescent="0.2">
      <c r="B49" s="50" t="s">
        <v>83</v>
      </c>
      <c r="C49" s="51">
        <f>7.45</f>
        <v>7.45</v>
      </c>
      <c r="D49" s="51">
        <f t="shared" ref="D49:AP49" si="5">ROUND(C49*(1+(0.5*D26)),2)</f>
        <v>7.6</v>
      </c>
      <c r="E49" s="51">
        <f t="shared" si="5"/>
        <v>7.7</v>
      </c>
      <c r="F49" s="51">
        <f t="shared" si="5"/>
        <v>7.73</v>
      </c>
      <c r="G49" s="51">
        <f t="shared" si="5"/>
        <v>7.8</v>
      </c>
      <c r="H49" s="51">
        <f t="shared" si="5"/>
        <v>7.87</v>
      </c>
      <c r="I49" s="51">
        <f t="shared" si="5"/>
        <v>7.94</v>
      </c>
      <c r="J49" s="51">
        <f t="shared" si="5"/>
        <v>8.01</v>
      </c>
      <c r="K49" s="51">
        <f t="shared" si="5"/>
        <v>8.08</v>
      </c>
      <c r="L49" s="51">
        <f t="shared" si="5"/>
        <v>8.15</v>
      </c>
      <c r="M49" s="51">
        <f t="shared" si="5"/>
        <v>8.1999999999999993</v>
      </c>
      <c r="N49" s="51">
        <f t="shared" si="5"/>
        <v>8.25</v>
      </c>
      <c r="O49" s="51">
        <f t="shared" si="5"/>
        <v>8.3000000000000007</v>
      </c>
      <c r="P49" s="51">
        <f t="shared" si="5"/>
        <v>8.35</v>
      </c>
      <c r="Q49" s="51">
        <f t="shared" si="5"/>
        <v>8.4</v>
      </c>
      <c r="R49" s="51">
        <f t="shared" si="5"/>
        <v>8.4499999999999993</v>
      </c>
      <c r="S49" s="51">
        <f t="shared" si="5"/>
        <v>8.5</v>
      </c>
      <c r="T49" s="51">
        <f t="shared" si="5"/>
        <v>8.5500000000000007</v>
      </c>
      <c r="U49" s="51">
        <f t="shared" si="5"/>
        <v>8.6</v>
      </c>
      <c r="V49" s="51">
        <f t="shared" si="5"/>
        <v>8.65</v>
      </c>
      <c r="W49" s="51">
        <f t="shared" si="5"/>
        <v>8.69</v>
      </c>
      <c r="X49" s="51">
        <f t="shared" si="5"/>
        <v>8.73</v>
      </c>
      <c r="Y49" s="51">
        <f t="shared" si="5"/>
        <v>8.77</v>
      </c>
      <c r="Z49" s="51">
        <f t="shared" si="5"/>
        <v>8.81</v>
      </c>
      <c r="AA49" s="51">
        <f t="shared" si="5"/>
        <v>8.85</v>
      </c>
      <c r="AB49" s="51">
        <f t="shared" si="5"/>
        <v>8.89</v>
      </c>
      <c r="AC49" s="51">
        <f t="shared" si="5"/>
        <v>8.93</v>
      </c>
      <c r="AD49" s="51">
        <f t="shared" si="5"/>
        <v>8.9700000000000006</v>
      </c>
      <c r="AE49" s="51">
        <f t="shared" si="5"/>
        <v>9.01</v>
      </c>
      <c r="AF49" s="51">
        <f t="shared" si="5"/>
        <v>9.06</v>
      </c>
      <c r="AG49" s="51">
        <f t="shared" si="5"/>
        <v>9.1199999999999992</v>
      </c>
      <c r="AH49" s="51">
        <f t="shared" si="5"/>
        <v>9.18</v>
      </c>
      <c r="AI49" s="51">
        <f t="shared" si="5"/>
        <v>9.24</v>
      </c>
      <c r="AJ49" s="51">
        <f t="shared" si="5"/>
        <v>9.3000000000000007</v>
      </c>
      <c r="AK49" s="51">
        <f t="shared" si="5"/>
        <v>9.36</v>
      </c>
      <c r="AL49" s="51">
        <f t="shared" si="5"/>
        <v>9.42</v>
      </c>
      <c r="AM49" s="51">
        <f t="shared" si="5"/>
        <v>9.48</v>
      </c>
      <c r="AN49" s="51">
        <f t="shared" si="5"/>
        <v>9.5399999999999991</v>
      </c>
      <c r="AO49" s="51">
        <f t="shared" si="5"/>
        <v>9.6</v>
      </c>
      <c r="AP49" s="51">
        <f t="shared" si="5"/>
        <v>9.66</v>
      </c>
      <c r="AQ49" s="49">
        <f t="shared" ref="AQ49:AQ50" si="6">SUM(C49:AP49)</f>
        <v>345.19000000000011</v>
      </c>
    </row>
    <row r="50" spans="2:43" x14ac:dyDescent="0.2">
      <c r="B50" s="52" t="s">
        <v>84</v>
      </c>
      <c r="C50" s="51">
        <f>4.86</f>
        <v>4.8600000000000003</v>
      </c>
      <c r="D50" s="51">
        <f t="shared" ref="D50:AP50" si="7">ROUND(C50*(1+(0.5*D26)),2)</f>
        <v>4.95</v>
      </c>
      <c r="E50" s="51">
        <f t="shared" si="7"/>
        <v>5.01</v>
      </c>
      <c r="F50" s="53">
        <f t="shared" si="7"/>
        <v>5.03</v>
      </c>
      <c r="G50" s="53">
        <f t="shared" si="7"/>
        <v>5.07</v>
      </c>
      <c r="H50" s="53">
        <f t="shared" si="7"/>
        <v>5.1100000000000003</v>
      </c>
      <c r="I50" s="53">
        <f t="shared" si="7"/>
        <v>5.15</v>
      </c>
      <c r="J50" s="53">
        <f t="shared" si="7"/>
        <v>5.19</v>
      </c>
      <c r="K50" s="53">
        <f t="shared" si="7"/>
        <v>5.23</v>
      </c>
      <c r="L50" s="53">
        <f t="shared" si="7"/>
        <v>5.27</v>
      </c>
      <c r="M50" s="53">
        <f t="shared" si="7"/>
        <v>5.3</v>
      </c>
      <c r="N50" s="53">
        <f t="shared" si="7"/>
        <v>5.33</v>
      </c>
      <c r="O50" s="53">
        <f t="shared" si="7"/>
        <v>5.36</v>
      </c>
      <c r="P50" s="53">
        <f t="shared" si="7"/>
        <v>5.39</v>
      </c>
      <c r="Q50" s="53">
        <f t="shared" si="7"/>
        <v>5.42</v>
      </c>
      <c r="R50" s="53">
        <f t="shared" si="7"/>
        <v>5.45</v>
      </c>
      <c r="S50" s="53">
        <f t="shared" si="7"/>
        <v>5.48</v>
      </c>
      <c r="T50" s="53">
        <f t="shared" si="7"/>
        <v>5.51</v>
      </c>
      <c r="U50" s="53">
        <f t="shared" si="7"/>
        <v>5.54</v>
      </c>
      <c r="V50" s="53">
        <f t="shared" si="7"/>
        <v>5.57</v>
      </c>
      <c r="W50" s="53">
        <f t="shared" si="7"/>
        <v>5.6</v>
      </c>
      <c r="X50" s="53">
        <f t="shared" si="7"/>
        <v>5.63</v>
      </c>
      <c r="Y50" s="53">
        <f t="shared" si="7"/>
        <v>5.66</v>
      </c>
      <c r="Z50" s="53">
        <f t="shared" si="7"/>
        <v>5.69</v>
      </c>
      <c r="AA50" s="53">
        <f t="shared" si="7"/>
        <v>5.72</v>
      </c>
      <c r="AB50" s="53">
        <f t="shared" si="7"/>
        <v>5.75</v>
      </c>
      <c r="AC50" s="53">
        <f t="shared" si="7"/>
        <v>5.78</v>
      </c>
      <c r="AD50" s="53">
        <f t="shared" si="7"/>
        <v>5.81</v>
      </c>
      <c r="AE50" s="53">
        <f t="shared" si="7"/>
        <v>5.84</v>
      </c>
      <c r="AF50" s="53">
        <f t="shared" si="7"/>
        <v>5.87</v>
      </c>
      <c r="AG50" s="53">
        <f t="shared" si="7"/>
        <v>5.91</v>
      </c>
      <c r="AH50" s="53">
        <f t="shared" si="7"/>
        <v>5.95</v>
      </c>
      <c r="AI50" s="53">
        <f t="shared" si="7"/>
        <v>5.99</v>
      </c>
      <c r="AJ50" s="53">
        <f t="shared" si="7"/>
        <v>6.03</v>
      </c>
      <c r="AK50" s="53">
        <f t="shared" si="7"/>
        <v>6.07</v>
      </c>
      <c r="AL50" s="53">
        <f t="shared" si="7"/>
        <v>6.11</v>
      </c>
      <c r="AM50" s="53">
        <f t="shared" si="7"/>
        <v>6.15</v>
      </c>
      <c r="AN50" s="53">
        <f t="shared" si="7"/>
        <v>6.19</v>
      </c>
      <c r="AO50" s="53">
        <f t="shared" si="7"/>
        <v>6.23</v>
      </c>
      <c r="AP50" s="53">
        <f t="shared" si="7"/>
        <v>6.27</v>
      </c>
      <c r="AQ50" s="49">
        <f t="shared" si="6"/>
        <v>223.47</v>
      </c>
    </row>
    <row r="51" spans="2:43" x14ac:dyDescent="0.2">
      <c r="B51" s="30" t="s">
        <v>216</v>
      </c>
    </row>
    <row r="52" spans="2:43" x14ac:dyDescent="0.2">
      <c r="B52" s="30"/>
    </row>
  </sheetData>
  <sheetProtection algorithmName="SHA-512" hashValue="gEC8CZuxYV3j+WBRlCJO6DwlPAn4pT/KAVAvW0Sr/8uE3dO+NzbRnSsApu3T2KnkKm2t4JuXDO/jH4gOvqSvGg==" saltValue="G+EtAUnU9YRxpC0Nk1nuYA==" spinCount="100000" sheet="1" objects="1" scenarios="1" selectLockedCells="1"/>
  <mergeCells count="3">
    <mergeCell ref="B8:C8"/>
    <mergeCell ref="B30:C30"/>
    <mergeCell ref="B25:B26"/>
  </mergeCells>
  <phoneticPr fontId="9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2"/>
  <sheetViews>
    <sheetView workbookViewId="0">
      <selection activeCell="I37" sqref="I37"/>
    </sheetView>
  </sheetViews>
  <sheetFormatPr defaultRowHeight="12.75" x14ac:dyDescent="0.2"/>
  <cols>
    <col min="1" max="1" width="9.140625" style="225"/>
    <col min="2" max="2" width="37.85546875" style="225" customWidth="1"/>
    <col min="3" max="3" width="12.85546875" style="225" customWidth="1"/>
    <col min="4" max="5" width="9.140625" style="225"/>
    <col min="6" max="6" width="62.85546875" style="225" customWidth="1"/>
    <col min="7" max="16384" width="9.140625" style="225"/>
  </cols>
  <sheetData>
    <row r="3" spans="2:19" ht="15" x14ac:dyDescent="0.2">
      <c r="G3" s="266"/>
      <c r="H3" s="267" t="s">
        <v>203</v>
      </c>
    </row>
    <row r="8" spans="2:19" ht="15.75" x14ac:dyDescent="0.25">
      <c r="B8" s="268" t="s">
        <v>63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</row>
    <row r="9" spans="2:19" ht="13.5" thickBot="1" x14ac:dyDescent="0.25">
      <c r="B9" s="269" t="s">
        <v>190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</row>
    <row r="10" spans="2:19" ht="15" x14ac:dyDescent="0.25">
      <c r="B10" s="270"/>
      <c r="C10" s="271"/>
      <c r="D10" s="271"/>
      <c r="E10" s="272"/>
      <c r="F10" s="272"/>
      <c r="G10" s="272"/>
      <c r="H10" s="272"/>
      <c r="I10" s="273"/>
      <c r="J10" s="273"/>
      <c r="K10" s="273"/>
      <c r="L10" s="273"/>
      <c r="M10" s="273"/>
      <c r="N10" s="273"/>
      <c r="O10" s="273"/>
      <c r="P10" s="273"/>
      <c r="Q10" s="273"/>
      <c r="R10" s="274"/>
      <c r="S10" s="275"/>
    </row>
    <row r="11" spans="2:19" ht="15.75" x14ac:dyDescent="0.25">
      <c r="B11" s="276"/>
      <c r="C11" s="277">
        <v>2008</v>
      </c>
      <c r="D11" s="278">
        <v>2009</v>
      </c>
      <c r="E11" s="278">
        <v>2010</v>
      </c>
      <c r="F11" s="278">
        <v>2011</v>
      </c>
      <c r="G11" s="278">
        <v>2012</v>
      </c>
      <c r="H11" s="278">
        <v>2013</v>
      </c>
      <c r="I11" s="278">
        <v>2014</v>
      </c>
      <c r="J11" s="278">
        <v>2015</v>
      </c>
      <c r="K11" s="278">
        <v>2016</v>
      </c>
      <c r="L11" s="278">
        <v>2017</v>
      </c>
      <c r="M11" s="278">
        <v>2018</v>
      </c>
      <c r="N11" s="278">
        <v>2019</v>
      </c>
      <c r="O11" s="278">
        <v>2020</v>
      </c>
      <c r="P11" s="278">
        <v>2021</v>
      </c>
      <c r="Q11" s="278">
        <v>2022</v>
      </c>
      <c r="R11" s="278">
        <v>2023</v>
      </c>
      <c r="S11" s="279">
        <v>2024</v>
      </c>
    </row>
    <row r="12" spans="2:19" x14ac:dyDescent="0.2">
      <c r="B12" s="280"/>
      <c r="C12" s="281" t="s">
        <v>195</v>
      </c>
      <c r="D12" s="282" t="s">
        <v>195</v>
      </c>
      <c r="E12" s="282" t="s">
        <v>195</v>
      </c>
      <c r="F12" s="282" t="s">
        <v>195</v>
      </c>
      <c r="G12" s="282" t="s">
        <v>195</v>
      </c>
      <c r="H12" s="282" t="s">
        <v>195</v>
      </c>
      <c r="I12" s="282" t="s">
        <v>195</v>
      </c>
      <c r="J12" s="282" t="s">
        <v>195</v>
      </c>
      <c r="K12" s="282" t="s">
        <v>195</v>
      </c>
      <c r="L12" s="282" t="s">
        <v>195</v>
      </c>
      <c r="M12" s="282" t="s">
        <v>195</v>
      </c>
      <c r="N12" s="282" t="s">
        <v>195</v>
      </c>
      <c r="O12" s="282" t="s">
        <v>195</v>
      </c>
      <c r="P12" s="282" t="s">
        <v>194</v>
      </c>
      <c r="Q12" s="282" t="s">
        <v>194</v>
      </c>
      <c r="R12" s="282" t="s">
        <v>194</v>
      </c>
      <c r="S12" s="283" t="s">
        <v>194</v>
      </c>
    </row>
    <row r="13" spans="2:19" x14ac:dyDescent="0.2">
      <c r="B13" s="284"/>
      <c r="C13" s="285"/>
      <c r="D13" s="285"/>
      <c r="E13" s="285"/>
      <c r="F13" s="285"/>
      <c r="G13" s="285"/>
      <c r="H13" s="285"/>
      <c r="I13" s="286"/>
      <c r="J13" s="286"/>
      <c r="K13" s="286"/>
      <c r="L13" s="286"/>
      <c r="M13" s="286"/>
      <c r="N13" s="286"/>
      <c r="O13" s="286"/>
      <c r="P13" s="286"/>
      <c r="Q13" s="286"/>
      <c r="R13" s="287"/>
      <c r="S13" s="288"/>
    </row>
    <row r="14" spans="2:19" ht="15.75" x14ac:dyDescent="0.25">
      <c r="B14" s="289" t="s">
        <v>196</v>
      </c>
      <c r="C14" s="290">
        <v>4.5876307055422894</v>
      </c>
      <c r="D14" s="291">
        <v>1.6236443564852099</v>
      </c>
      <c r="E14" s="291">
        <v>0.96309892889521187</v>
      </c>
      <c r="F14" s="291">
        <v>3.908765900839728</v>
      </c>
      <c r="G14" s="291">
        <v>3.6150362463793551</v>
      </c>
      <c r="H14" s="291">
        <v>1.3889746916249779</v>
      </c>
      <c r="I14" s="291">
        <v>-6.9055864163058978E-2</v>
      </c>
      <c r="J14" s="291">
        <v>-0.32875013973152623</v>
      </c>
      <c r="K14" s="291">
        <v>-0.51947654708678348</v>
      </c>
      <c r="L14" s="291">
        <v>1.3083863171367671</v>
      </c>
      <c r="M14" s="291">
        <v>2.4942252144670052</v>
      </c>
      <c r="N14" s="292">
        <v>2.6775097969561568</v>
      </c>
      <c r="O14" s="292">
        <v>1.9325023003922803</v>
      </c>
      <c r="P14" s="292">
        <v>1.514327397648918</v>
      </c>
      <c r="Q14" s="292">
        <v>2.8574717640789116</v>
      </c>
      <c r="R14" s="292">
        <v>2.4322195185875639</v>
      </c>
      <c r="S14" s="293">
        <v>0.92769135203003561</v>
      </c>
    </row>
    <row r="15" spans="2:19" ht="15.75" x14ac:dyDescent="0.25">
      <c r="B15" s="294" t="s">
        <v>197</v>
      </c>
      <c r="C15" s="290">
        <v>4.4711628780762513</v>
      </c>
      <c r="D15" s="291">
        <v>4.2016215413242852</v>
      </c>
      <c r="E15" s="291">
        <v>-0.49220795786220073</v>
      </c>
      <c r="F15" s="291">
        <v>7.0094479758107786</v>
      </c>
      <c r="G15" s="291">
        <v>6.3089693271419112</v>
      </c>
      <c r="H15" s="291">
        <v>0.80300655197669268</v>
      </c>
      <c r="I15" s="291">
        <v>-0.89491195539248558</v>
      </c>
      <c r="J15" s="291">
        <v>-1.5886969964371223</v>
      </c>
      <c r="K15" s="291">
        <v>-1.1862344220351706</v>
      </c>
      <c r="L15" s="291">
        <v>-1.888214946065625</v>
      </c>
      <c r="M15" s="291">
        <v>1.3025080059388294</v>
      </c>
      <c r="N15" s="291">
        <v>3.9175605559262472</v>
      </c>
      <c r="O15" s="291">
        <v>3.2515616904095213</v>
      </c>
      <c r="P15" s="291">
        <v>-1.8670693157623042</v>
      </c>
      <c r="Q15" s="291">
        <v>7.6533179965405651</v>
      </c>
      <c r="R15" s="291">
        <v>4.719656704246078</v>
      </c>
      <c r="S15" s="293">
        <v>-2.3599627405690105</v>
      </c>
    </row>
    <row r="16" spans="2:19" ht="15.75" x14ac:dyDescent="0.25">
      <c r="B16" s="295" t="s">
        <v>191</v>
      </c>
      <c r="C16" s="290">
        <v>4.6040101483600271</v>
      </c>
      <c r="D16" s="291">
        <v>0.46895995700080295</v>
      </c>
      <c r="E16" s="291">
        <v>1.1836456285359009</v>
      </c>
      <c r="F16" s="291">
        <v>2.315806170195911</v>
      </c>
      <c r="G16" s="291">
        <v>2.7446192801591218</v>
      </c>
      <c r="H16" s="291">
        <v>1.4906230942846044</v>
      </c>
      <c r="I16" s="291">
        <v>0.1579612468407765</v>
      </c>
      <c r="J16" s="291">
        <v>4.3293523907195208E-3</v>
      </c>
      <c r="K16" s="291">
        <v>6.606261000619007E-2</v>
      </c>
      <c r="L16" s="291">
        <v>2.0285315847289764</v>
      </c>
      <c r="M16" s="291">
        <v>2.7462988893904194</v>
      </c>
      <c r="N16" s="291">
        <v>2.3774857529279103</v>
      </c>
      <c r="O16" s="291">
        <v>1.6681411512068367</v>
      </c>
      <c r="P16" s="291">
        <v>1.9659960073570737</v>
      </c>
      <c r="Q16" s="291">
        <v>1.7327109170884869</v>
      </c>
      <c r="R16" s="291">
        <v>1.8299201869535819</v>
      </c>
      <c r="S16" s="293">
        <v>1.5805016009937001</v>
      </c>
    </row>
    <row r="17" spans="2:19" ht="15.75" x14ac:dyDescent="0.25">
      <c r="B17" s="294" t="s">
        <v>198</v>
      </c>
      <c r="C17" s="290">
        <v>8.0206548209614823</v>
      </c>
      <c r="D17" s="291">
        <v>-3.6335803499982444</v>
      </c>
      <c r="E17" s="291">
        <v>1.7127219426252616</v>
      </c>
      <c r="F17" s="291">
        <v>5.3185674227096857</v>
      </c>
      <c r="G17" s="291">
        <v>3.7483907062019428</v>
      </c>
      <c r="H17" s="291">
        <v>3.7364050988188513</v>
      </c>
      <c r="I17" s="291">
        <v>-0.73401850077349229</v>
      </c>
      <c r="J17" s="291">
        <v>-0.39685293727955706</v>
      </c>
      <c r="K17" s="291">
        <v>-0.82690909844265192</v>
      </c>
      <c r="L17" s="291">
        <v>4.231806259839388</v>
      </c>
      <c r="M17" s="291">
        <v>4.2411206706375326</v>
      </c>
      <c r="N17" s="291">
        <v>4.3568221926978401</v>
      </c>
      <c r="O17" s="291">
        <v>2.7820210071904716</v>
      </c>
      <c r="P17" s="291">
        <v>-0.11682576112929111</v>
      </c>
      <c r="Q17" s="291">
        <v>2.3656220669712624</v>
      </c>
      <c r="R17" s="291">
        <v>2.0705633980319993</v>
      </c>
      <c r="S17" s="293">
        <v>1.6736893571656086</v>
      </c>
    </row>
    <row r="18" spans="2:19" ht="15.75" x14ac:dyDescent="0.25">
      <c r="B18" s="295" t="s">
        <v>192</v>
      </c>
      <c r="C18" s="290">
        <v>3.8213324545504523</v>
      </c>
      <c r="D18" s="291">
        <v>1.4250572006718532</v>
      </c>
      <c r="E18" s="291">
        <v>0.87692418028779695</v>
      </c>
      <c r="F18" s="291">
        <v>1.5266090148782885</v>
      </c>
      <c r="G18" s="291">
        <v>2.5260370247765618</v>
      </c>
      <c r="H18" s="291">
        <v>0.9661475796636898</v>
      </c>
      <c r="I18" s="291">
        <v>0.36037587326578358</v>
      </c>
      <c r="J18" s="291">
        <v>0.12439182813095417</v>
      </c>
      <c r="K18" s="291">
        <v>0.2692827897696759</v>
      </c>
      <c r="L18" s="291">
        <v>1.3934581321679573</v>
      </c>
      <c r="M18" s="291">
        <v>2.3593189910797729</v>
      </c>
      <c r="N18" s="291">
        <v>1.9025804371182842</v>
      </c>
      <c r="O18" s="291">
        <v>1.3854120019841876</v>
      </c>
      <c r="P18" s="291">
        <v>2.5449829853962491</v>
      </c>
      <c r="Q18" s="291">
        <v>1.5567480115036725</v>
      </c>
      <c r="R18" s="291">
        <v>1.7606214248653274</v>
      </c>
      <c r="S18" s="293">
        <v>1.5544064284531922</v>
      </c>
    </row>
    <row r="19" spans="2:19" ht="15.75" x14ac:dyDescent="0.25">
      <c r="B19" s="294" t="s">
        <v>199</v>
      </c>
      <c r="C19" s="290">
        <v>6.6319291550467119</v>
      </c>
      <c r="D19" s="291">
        <v>-16.253336086321479</v>
      </c>
      <c r="E19" s="291">
        <v>11.478089359254163</v>
      </c>
      <c r="F19" s="291">
        <v>15.463250411605213</v>
      </c>
      <c r="G19" s="291">
        <v>5.6732003887600024</v>
      </c>
      <c r="H19" s="291">
        <v>-3.4902455725774995</v>
      </c>
      <c r="I19" s="291">
        <v>-2.7573925806384292</v>
      </c>
      <c r="J19" s="291">
        <v>-12.730784362816994</v>
      </c>
      <c r="K19" s="291">
        <v>-7.1492975294676908</v>
      </c>
      <c r="L19" s="291">
        <v>7.6026695857904558</v>
      </c>
      <c r="M19" s="291">
        <v>7.332140981885038</v>
      </c>
      <c r="N19" s="291">
        <v>-1.6915727116376789</v>
      </c>
      <c r="O19" s="291">
        <v>-11.57668024756634</v>
      </c>
      <c r="P19" s="291">
        <v>13.262447527494082</v>
      </c>
      <c r="Q19" s="291">
        <v>0.3255101074426392</v>
      </c>
      <c r="R19" s="291">
        <v>-1.6944860366832293</v>
      </c>
      <c r="S19" s="293">
        <v>-0.68247102217094957</v>
      </c>
    </row>
    <row r="20" spans="2:19" ht="15.75" x14ac:dyDescent="0.25">
      <c r="B20" s="294" t="s">
        <v>200</v>
      </c>
      <c r="C20" s="290">
        <v>0.47292770933651251</v>
      </c>
      <c r="D20" s="291">
        <v>-1.6083417888456908</v>
      </c>
      <c r="E20" s="291">
        <v>-1.4109817179677853</v>
      </c>
      <c r="F20" s="291">
        <v>-0.28975910358571833</v>
      </c>
      <c r="G20" s="291">
        <v>2.060897014808627</v>
      </c>
      <c r="H20" s="291">
        <v>0.95155494553009756</v>
      </c>
      <c r="I20" s="291">
        <v>0.16729815413425442</v>
      </c>
      <c r="J20" s="291">
        <v>0.44213930396062029</v>
      </c>
      <c r="K20" s="291">
        <v>0.11670987385077325</v>
      </c>
      <c r="L20" s="291">
        <v>0.55712079970713368</v>
      </c>
      <c r="M20" s="291">
        <v>1.3391797128520011</v>
      </c>
      <c r="N20" s="291">
        <v>1.4030793105535899</v>
      </c>
      <c r="O20" s="291">
        <v>1.5446785741446867</v>
      </c>
      <c r="P20" s="291">
        <v>1.6761314850213038</v>
      </c>
      <c r="Q20" s="291">
        <v>1.3501595359473484</v>
      </c>
      <c r="R20" s="291">
        <v>1.82299752638313</v>
      </c>
      <c r="S20" s="293">
        <v>1.7113287134194133</v>
      </c>
    </row>
    <row r="21" spans="2:19" ht="16.5" thickBot="1" x14ac:dyDescent="0.3">
      <c r="B21" s="296" t="s">
        <v>201</v>
      </c>
      <c r="C21" s="297">
        <v>7.3581704008733206</v>
      </c>
      <c r="D21" s="298">
        <v>6.8770071780209552</v>
      </c>
      <c r="E21" s="298">
        <v>2.3030839660141966</v>
      </c>
      <c r="F21" s="298">
        <v>2.2351229662913141</v>
      </c>
      <c r="G21" s="298">
        <v>2.7311331162836794</v>
      </c>
      <c r="H21" s="298">
        <v>1.4061910982142045</v>
      </c>
      <c r="I21" s="298">
        <v>0.8338304328656454</v>
      </c>
      <c r="J21" s="298">
        <v>0.79049688988346301</v>
      </c>
      <c r="K21" s="298">
        <v>0.95144929077257689</v>
      </c>
      <c r="L21" s="298">
        <v>1.8579999325895713</v>
      </c>
      <c r="M21" s="298">
        <v>3.0004715381242608</v>
      </c>
      <c r="N21" s="298">
        <v>2.8658793732108778</v>
      </c>
      <c r="O21" s="298">
        <v>2.6443239352073711</v>
      </c>
      <c r="P21" s="298">
        <v>2.5582479257662882</v>
      </c>
      <c r="Q21" s="298">
        <v>1.9238780133563171</v>
      </c>
      <c r="R21" s="298">
        <v>2.0100779580168426</v>
      </c>
      <c r="S21" s="299">
        <v>1.5722809197504573</v>
      </c>
    </row>
    <row r="22" spans="2:19" x14ac:dyDescent="0.2">
      <c r="B22" s="30" t="s">
        <v>193</v>
      </c>
    </row>
  </sheetData>
  <sheetProtection algorithmName="SHA-512" hashValue="0CsCxUIYyWNvP51q/mz5uFKBNRxREi/53h6Ihgi/4VP/10uGUaCnT41PTRVwz6tFJnBud7XNj9T1gh1ng6iKRQ==" saltValue="dvNoRhtZWE8CjgaJFUioFw==" spinCount="100000" sheet="1" objects="1" scenarios="1" selectLockedCells="1"/>
  <mergeCells count="2">
    <mergeCell ref="B8:S8"/>
    <mergeCell ref="B9:S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R44" sqref="R44"/>
    </sheetView>
  </sheetViews>
  <sheetFormatPr defaultRowHeight="12.75" x14ac:dyDescent="0.2"/>
  <cols>
    <col min="1" max="1" width="5.5703125" style="225" customWidth="1"/>
    <col min="2" max="2" width="36.85546875" style="225" customWidth="1"/>
    <col min="3" max="4" width="16.5703125" style="225" customWidth="1"/>
    <col min="5" max="5" width="13" style="225" customWidth="1"/>
    <col min="6" max="16384" width="9.140625" style="225"/>
  </cols>
  <sheetData>
    <row r="2" spans="1:5" x14ac:dyDescent="0.2">
      <c r="A2" s="121" t="s">
        <v>386</v>
      </c>
    </row>
    <row r="4" spans="1:5" x14ac:dyDescent="0.2">
      <c r="B4" s="300" t="s">
        <v>248</v>
      </c>
      <c r="C4" s="300" t="s">
        <v>243</v>
      </c>
      <c r="D4" s="300" t="s">
        <v>247</v>
      </c>
      <c r="E4" s="300" t="s">
        <v>256</v>
      </c>
    </row>
    <row r="5" spans="1:5" x14ac:dyDescent="0.2">
      <c r="B5" s="301" t="s">
        <v>242</v>
      </c>
      <c r="C5" s="301">
        <v>563</v>
      </c>
      <c r="D5" s="301">
        <f>C5/1000/4*60</f>
        <v>8.4449999999999985</v>
      </c>
      <c r="E5" s="301">
        <v>8.5</v>
      </c>
    </row>
    <row r="6" spans="1:5" x14ac:dyDescent="0.2">
      <c r="B6" s="301" t="s">
        <v>245</v>
      </c>
      <c r="C6" s="301">
        <v>510</v>
      </c>
      <c r="D6" s="301">
        <f>C6/1000/4*60</f>
        <v>7.65</v>
      </c>
      <c r="E6" s="301">
        <v>8</v>
      </c>
    </row>
    <row r="11" spans="1:5" x14ac:dyDescent="0.2">
      <c r="B11" s="300" t="s">
        <v>248</v>
      </c>
      <c r="C11" s="300" t="s">
        <v>243</v>
      </c>
      <c r="D11" s="300" t="s">
        <v>247</v>
      </c>
      <c r="E11" s="300" t="s">
        <v>256</v>
      </c>
    </row>
    <row r="12" spans="1:5" x14ac:dyDescent="0.2">
      <c r="B12" s="301" t="s">
        <v>244</v>
      </c>
      <c r="C12" s="301">
        <v>148</v>
      </c>
      <c r="D12" s="301">
        <f>C12/1000/4*60</f>
        <v>2.2199999999999998</v>
      </c>
      <c r="E12" s="301">
        <v>2.5</v>
      </c>
    </row>
    <row r="13" spans="1:5" x14ac:dyDescent="0.2">
      <c r="B13" s="301" t="s">
        <v>246</v>
      </c>
      <c r="C13" s="301">
        <v>158</v>
      </c>
      <c r="D13" s="301">
        <f>C13/1000/4*60</f>
        <v>2.37</v>
      </c>
      <c r="E13" s="301">
        <v>2.5</v>
      </c>
    </row>
    <row r="16" spans="1:5" ht="25.5" x14ac:dyDescent="0.2">
      <c r="C16" s="302" t="s">
        <v>254</v>
      </c>
      <c r="D16" s="302" t="s">
        <v>253</v>
      </c>
      <c r="E16" s="302" t="s">
        <v>255</v>
      </c>
    </row>
    <row r="17" spans="2:5" x14ac:dyDescent="0.2">
      <c r="B17" s="303" t="s">
        <v>252</v>
      </c>
      <c r="C17" s="301">
        <f>C20+C21</f>
        <v>16</v>
      </c>
      <c r="D17" s="304">
        <f>Vstupy!H43*15%*250*2</f>
        <v>35775</v>
      </c>
      <c r="E17" s="305">
        <f>D17*C17/60</f>
        <v>9540</v>
      </c>
    </row>
    <row r="20" spans="2:5" x14ac:dyDescent="0.2">
      <c r="B20" s="306" t="s">
        <v>297</v>
      </c>
      <c r="C20" s="306">
        <v>10</v>
      </c>
    </row>
    <row r="21" spans="2:5" x14ac:dyDescent="0.2">
      <c r="B21" s="306" t="s">
        <v>298</v>
      </c>
      <c r="C21" s="307">
        <f>ROUND((E5-E12)/2+(E6-E13)/2,0)</f>
        <v>6</v>
      </c>
    </row>
  </sheetData>
  <sheetProtection algorithmName="SHA-512" hashValue="jiqDfzV0RFkoBVl6CL8TwWbA0TZT3HATLu0oLPP1GV7MwGdKy3q3q1sR9y16SzaAHK/T5F+fdFyPj6mbAghA7g==" saltValue="C1FAKKAtaIclkgmmWTctAQ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2:AF227"/>
  <sheetViews>
    <sheetView topLeftCell="A21" zoomScale="90" zoomScaleNormal="90" workbookViewId="0">
      <selection activeCell="E66" sqref="E66"/>
    </sheetView>
  </sheetViews>
  <sheetFormatPr defaultColWidth="9.140625" defaultRowHeight="12" x14ac:dyDescent="0.2"/>
  <cols>
    <col min="1" max="1" width="9.140625" style="55"/>
    <col min="2" max="2" width="57.5703125" style="55" customWidth="1"/>
    <col min="3" max="3" width="19.5703125" style="55" customWidth="1"/>
    <col min="4" max="4" width="16" style="55" customWidth="1"/>
    <col min="5" max="5" width="39.5703125" style="55" customWidth="1"/>
    <col min="6" max="6" width="16.140625" style="55" bestFit="1" customWidth="1"/>
    <col min="7" max="7" width="13.85546875" style="55" customWidth="1"/>
    <col min="8" max="8" width="13.140625" style="55" bestFit="1" customWidth="1"/>
    <col min="9" max="10" width="10.85546875" style="55" bestFit="1" customWidth="1"/>
    <col min="11" max="11" width="17.7109375" style="55" customWidth="1"/>
    <col min="12" max="12" width="15" style="55" customWidth="1"/>
    <col min="13" max="13" width="18.42578125" style="55" customWidth="1"/>
    <col min="14" max="14" width="11.42578125" style="55" customWidth="1"/>
    <col min="15" max="26" width="10.85546875" style="55" bestFit="1" customWidth="1"/>
    <col min="27" max="39" width="10.5703125" style="55" customWidth="1"/>
    <col min="40" max="16384" width="9.140625" style="55"/>
  </cols>
  <sheetData>
    <row r="2" spans="1:6" x14ac:dyDescent="0.2">
      <c r="A2" s="54" t="s">
        <v>386</v>
      </c>
    </row>
    <row r="4" spans="1:6" x14ac:dyDescent="0.2">
      <c r="B4" s="56" t="s">
        <v>306</v>
      </c>
    </row>
    <row r="5" spans="1:6" x14ac:dyDescent="0.2">
      <c r="B5" s="57" t="s">
        <v>328</v>
      </c>
      <c r="C5" s="57" t="s">
        <v>307</v>
      </c>
      <c r="D5" s="57" t="s">
        <v>389</v>
      </c>
    </row>
    <row r="6" spans="1:6" x14ac:dyDescent="0.2">
      <c r="B6" s="58" t="s">
        <v>304</v>
      </c>
      <c r="C6" s="58">
        <v>143</v>
      </c>
      <c r="D6" s="58">
        <v>143</v>
      </c>
    </row>
    <row r="7" spans="1:6" ht="15" customHeight="1" x14ac:dyDescent="0.2">
      <c r="B7" s="58" t="s">
        <v>305</v>
      </c>
      <c r="C7" s="58">
        <v>69</v>
      </c>
      <c r="D7" s="58">
        <v>69</v>
      </c>
    </row>
    <row r="8" spans="1:6" x14ac:dyDescent="0.2">
      <c r="B8" s="58" t="s">
        <v>302</v>
      </c>
      <c r="C8" s="58">
        <v>309</v>
      </c>
      <c r="D8" s="58">
        <v>309</v>
      </c>
    </row>
    <row r="9" spans="1:6" x14ac:dyDescent="0.2">
      <c r="B9" s="58" t="s">
        <v>303</v>
      </c>
      <c r="C9" s="58"/>
      <c r="D9" s="58">
        <f>C32</f>
        <v>154</v>
      </c>
    </row>
    <row r="10" spans="1:6" x14ac:dyDescent="0.2">
      <c r="B10" s="58" t="s">
        <v>416</v>
      </c>
      <c r="C10" s="58">
        <v>14</v>
      </c>
      <c r="D10" s="58">
        <v>14</v>
      </c>
    </row>
    <row r="11" spans="1:6" x14ac:dyDescent="0.2">
      <c r="B11" s="58" t="s">
        <v>390</v>
      </c>
      <c r="C11" s="58"/>
      <c r="D11" s="58">
        <v>12</v>
      </c>
    </row>
    <row r="12" spans="1:6" x14ac:dyDescent="0.2">
      <c r="B12" s="58" t="s">
        <v>391</v>
      </c>
      <c r="C12" s="58"/>
      <c r="D12" s="58">
        <v>8</v>
      </c>
    </row>
    <row r="13" spans="1:6" x14ac:dyDescent="0.2">
      <c r="B13" s="59" t="s">
        <v>8</v>
      </c>
      <c r="C13" s="59">
        <f>C6+C7+C8+C10</f>
        <v>535</v>
      </c>
      <c r="D13" s="59">
        <f>D6+D7+D8+D9+D10+D11+D12</f>
        <v>709</v>
      </c>
    </row>
    <row r="14" spans="1:6" x14ac:dyDescent="0.2">
      <c r="B14" s="60"/>
      <c r="C14" s="60"/>
    </row>
    <row r="15" spans="1:6" x14ac:dyDescent="0.2">
      <c r="B15" s="61"/>
      <c r="C15" s="61"/>
    </row>
    <row r="16" spans="1:6" x14ac:dyDescent="0.2">
      <c r="B16" s="62" t="s">
        <v>369</v>
      </c>
      <c r="C16" s="62"/>
      <c r="D16" s="62"/>
      <c r="E16" s="62"/>
      <c r="F16" s="62"/>
    </row>
    <row r="17" spans="2:8" x14ac:dyDescent="0.2">
      <c r="B17" s="63" t="s">
        <v>370</v>
      </c>
      <c r="C17" s="63">
        <v>2022</v>
      </c>
      <c r="D17" s="63">
        <v>2023</v>
      </c>
      <c r="E17" s="63">
        <v>2024</v>
      </c>
      <c r="F17" s="63">
        <v>2025</v>
      </c>
      <c r="G17" s="63">
        <v>2026</v>
      </c>
      <c r="H17" s="63">
        <v>2027</v>
      </c>
    </row>
    <row r="18" spans="2:8" x14ac:dyDescent="0.2">
      <c r="B18" s="64" t="s">
        <v>371</v>
      </c>
      <c r="C18" s="64">
        <v>11</v>
      </c>
      <c r="D18" s="64"/>
      <c r="E18" s="64"/>
      <c r="F18" s="64"/>
      <c r="G18" s="64"/>
      <c r="H18" s="64"/>
    </row>
    <row r="19" spans="2:8" x14ac:dyDescent="0.2">
      <c r="B19" s="64" t="s">
        <v>372</v>
      </c>
      <c r="C19" s="64">
        <v>1</v>
      </c>
      <c r="D19" s="64"/>
      <c r="E19" s="64"/>
      <c r="F19" s="64"/>
      <c r="G19" s="64"/>
      <c r="H19" s="64"/>
    </row>
    <row r="20" spans="2:8" x14ac:dyDescent="0.2">
      <c r="B20" s="64" t="s">
        <v>373</v>
      </c>
      <c r="C20" s="64">
        <v>2</v>
      </c>
      <c r="D20" s="64"/>
      <c r="E20" s="64"/>
      <c r="F20" s="64"/>
      <c r="G20" s="64"/>
      <c r="H20" s="64"/>
    </row>
    <row r="21" spans="2:8" x14ac:dyDescent="0.2">
      <c r="B21" s="64" t="s">
        <v>374</v>
      </c>
      <c r="C21" s="64">
        <v>7</v>
      </c>
      <c r="D21" s="64"/>
      <c r="E21" s="64"/>
      <c r="F21" s="64"/>
      <c r="G21" s="64"/>
      <c r="H21" s="64"/>
    </row>
    <row r="22" spans="2:8" x14ac:dyDescent="0.2">
      <c r="B22" s="65" t="s">
        <v>420</v>
      </c>
      <c r="C22" s="66">
        <v>3</v>
      </c>
      <c r="D22" s="65"/>
      <c r="E22" s="65"/>
      <c r="F22" s="65"/>
      <c r="G22" s="67"/>
      <c r="H22" s="68"/>
    </row>
    <row r="23" spans="2:8" x14ac:dyDescent="0.2">
      <c r="B23" s="65" t="s">
        <v>421</v>
      </c>
      <c r="C23" s="66">
        <v>2</v>
      </c>
      <c r="D23" s="65"/>
      <c r="E23" s="65"/>
      <c r="F23" s="65"/>
      <c r="G23" s="67"/>
      <c r="H23" s="68"/>
    </row>
    <row r="24" spans="2:8" x14ac:dyDescent="0.2">
      <c r="B24" s="64" t="s">
        <v>375</v>
      </c>
      <c r="C24" s="64">
        <v>8</v>
      </c>
      <c r="D24" s="64"/>
      <c r="E24" s="64"/>
      <c r="F24" s="64"/>
      <c r="G24" s="64"/>
      <c r="H24" s="64"/>
    </row>
    <row r="25" spans="2:8" x14ac:dyDescent="0.2">
      <c r="B25" s="64" t="s">
        <v>376</v>
      </c>
      <c r="C25" s="64">
        <v>1</v>
      </c>
      <c r="D25" s="64"/>
      <c r="E25" s="64"/>
      <c r="F25" s="64"/>
      <c r="G25" s="64"/>
      <c r="H25" s="64"/>
    </row>
    <row r="26" spans="2:8" x14ac:dyDescent="0.2">
      <c r="B26" s="64" t="s">
        <v>377</v>
      </c>
      <c r="C26" s="64">
        <v>18</v>
      </c>
      <c r="D26" s="64"/>
      <c r="E26" s="64"/>
      <c r="F26" s="64"/>
      <c r="G26" s="64"/>
      <c r="H26" s="64"/>
    </row>
    <row r="27" spans="2:8" x14ac:dyDescent="0.2">
      <c r="B27" s="64" t="s">
        <v>378</v>
      </c>
      <c r="C27" s="69">
        <v>2</v>
      </c>
      <c r="D27" s="64"/>
      <c r="E27" s="64"/>
      <c r="F27" s="64"/>
      <c r="G27" s="64"/>
      <c r="H27" s="64">
        <v>12</v>
      </c>
    </row>
    <row r="28" spans="2:8" x14ac:dyDescent="0.2">
      <c r="B28" s="64" t="s">
        <v>379</v>
      </c>
      <c r="C28" s="64">
        <v>14</v>
      </c>
      <c r="D28" s="64">
        <v>20</v>
      </c>
      <c r="E28" s="64">
        <v>15</v>
      </c>
      <c r="F28" s="64">
        <v>12</v>
      </c>
      <c r="G28" s="64"/>
      <c r="H28" s="64"/>
    </row>
    <row r="29" spans="2:8" x14ac:dyDescent="0.2">
      <c r="B29" s="70" t="s">
        <v>380</v>
      </c>
      <c r="C29" s="70">
        <v>23</v>
      </c>
      <c r="D29" s="70">
        <v>12</v>
      </c>
      <c r="E29" s="70">
        <v>3</v>
      </c>
      <c r="F29" s="70"/>
      <c r="G29" s="70"/>
      <c r="H29" s="70"/>
    </row>
    <row r="30" spans="2:8" x14ac:dyDescent="0.2">
      <c r="B30" s="71" t="s">
        <v>392</v>
      </c>
      <c r="C30" s="70"/>
      <c r="D30" s="70"/>
      <c r="E30" s="70"/>
      <c r="F30" s="70"/>
      <c r="G30" s="70"/>
      <c r="H30" s="70">
        <v>8</v>
      </c>
    </row>
    <row r="31" spans="2:8" x14ac:dyDescent="0.2">
      <c r="B31" s="72" t="s">
        <v>381</v>
      </c>
      <c r="C31" s="72">
        <f>SUM(C18:C30)</f>
        <v>92</v>
      </c>
      <c r="D31" s="72">
        <f t="shared" ref="D31:H31" si="0">SUM(D18:D30)</f>
        <v>32</v>
      </c>
      <c r="E31" s="72">
        <f t="shared" si="0"/>
        <v>18</v>
      </c>
      <c r="F31" s="72">
        <f t="shared" si="0"/>
        <v>12</v>
      </c>
      <c r="G31" s="72">
        <f t="shared" si="0"/>
        <v>0</v>
      </c>
      <c r="H31" s="72">
        <f t="shared" si="0"/>
        <v>20</v>
      </c>
    </row>
    <row r="32" spans="2:8" x14ac:dyDescent="0.2">
      <c r="B32" s="73" t="s">
        <v>393</v>
      </c>
      <c r="C32" s="74">
        <v>154</v>
      </c>
      <c r="D32" s="74"/>
      <c r="E32" s="74"/>
      <c r="F32" s="74"/>
      <c r="G32" s="74"/>
      <c r="H32" s="74"/>
    </row>
    <row r="33" spans="2:32" x14ac:dyDescent="0.2">
      <c r="B33" s="73" t="s">
        <v>394</v>
      </c>
      <c r="C33" s="74">
        <f>H31</f>
        <v>20</v>
      </c>
      <c r="D33" s="74"/>
      <c r="E33" s="74"/>
      <c r="F33" s="74"/>
      <c r="G33" s="74"/>
      <c r="H33" s="74"/>
    </row>
    <row r="34" spans="2:32" x14ac:dyDescent="0.2">
      <c r="B34" s="75" t="s">
        <v>324</v>
      </c>
      <c r="C34" s="76"/>
      <c r="D34" s="76"/>
      <c r="E34" s="76"/>
      <c r="F34" s="76"/>
    </row>
    <row r="35" spans="2:32" x14ac:dyDescent="0.2">
      <c r="B35" s="61"/>
      <c r="C35" s="61"/>
    </row>
    <row r="36" spans="2:32" x14ac:dyDescent="0.2">
      <c r="B36" s="56" t="s">
        <v>308</v>
      </c>
    </row>
    <row r="37" spans="2:32" x14ac:dyDescent="0.2">
      <c r="B37" s="77" t="s">
        <v>9</v>
      </c>
      <c r="C37" s="57">
        <v>2022</v>
      </c>
      <c r="D37" s="57">
        <v>2023</v>
      </c>
      <c r="E37" s="57">
        <v>2024</v>
      </c>
      <c r="F37" s="57">
        <v>2025</v>
      </c>
      <c r="G37" s="57">
        <v>2026</v>
      </c>
      <c r="H37" s="57">
        <v>2027</v>
      </c>
      <c r="I37" s="57">
        <v>2028</v>
      </c>
      <c r="J37" s="57">
        <v>2029</v>
      </c>
      <c r="K37" s="57">
        <v>2030</v>
      </c>
      <c r="L37" s="57">
        <v>2031</v>
      </c>
      <c r="M37" s="57">
        <v>2032</v>
      </c>
      <c r="N37" s="57">
        <v>2033</v>
      </c>
      <c r="O37" s="57">
        <v>2034</v>
      </c>
      <c r="P37" s="57">
        <v>2035</v>
      </c>
      <c r="Q37" s="57">
        <v>2036</v>
      </c>
      <c r="R37" s="57">
        <v>2037</v>
      </c>
      <c r="S37" s="57">
        <v>2038</v>
      </c>
      <c r="T37" s="57">
        <v>2039</v>
      </c>
      <c r="U37" s="57">
        <v>2040</v>
      </c>
      <c r="V37" s="57">
        <v>2041</v>
      </c>
      <c r="W37" s="57">
        <v>2042</v>
      </c>
      <c r="X37" s="57">
        <v>2043</v>
      </c>
      <c r="Y37" s="57">
        <v>2044</v>
      </c>
      <c r="Z37" s="57">
        <v>2045</v>
      </c>
      <c r="AA37" s="57">
        <v>2046</v>
      </c>
      <c r="AB37" s="57">
        <v>2047</v>
      </c>
      <c r="AC37" s="57">
        <v>2048</v>
      </c>
      <c r="AD37" s="57">
        <v>2049</v>
      </c>
      <c r="AE37" s="57">
        <v>2050</v>
      </c>
      <c r="AF37" s="57">
        <v>2051</v>
      </c>
    </row>
    <row r="38" spans="2:32" x14ac:dyDescent="0.2">
      <c r="B38" s="58" t="s">
        <v>309</v>
      </c>
      <c r="C38" s="58">
        <f>$C$13</f>
        <v>535</v>
      </c>
      <c r="D38" s="58">
        <f t="shared" ref="D38:AF38" si="1">$C$13</f>
        <v>535</v>
      </c>
      <c r="E38" s="58">
        <f t="shared" si="1"/>
        <v>535</v>
      </c>
      <c r="F38" s="58">
        <f t="shared" si="1"/>
        <v>535</v>
      </c>
      <c r="G38" s="58">
        <f t="shared" si="1"/>
        <v>535</v>
      </c>
      <c r="H38" s="58">
        <f t="shared" si="1"/>
        <v>535</v>
      </c>
      <c r="I38" s="58">
        <f t="shared" si="1"/>
        <v>535</v>
      </c>
      <c r="J38" s="58">
        <f t="shared" si="1"/>
        <v>535</v>
      </c>
      <c r="K38" s="58">
        <f t="shared" si="1"/>
        <v>535</v>
      </c>
      <c r="L38" s="58">
        <f t="shared" si="1"/>
        <v>535</v>
      </c>
      <c r="M38" s="58">
        <f t="shared" si="1"/>
        <v>535</v>
      </c>
      <c r="N38" s="58">
        <f t="shared" si="1"/>
        <v>535</v>
      </c>
      <c r="O38" s="58">
        <f t="shared" si="1"/>
        <v>535</v>
      </c>
      <c r="P38" s="58">
        <f t="shared" si="1"/>
        <v>535</v>
      </c>
      <c r="Q38" s="58">
        <f t="shared" si="1"/>
        <v>535</v>
      </c>
      <c r="R38" s="58">
        <f t="shared" si="1"/>
        <v>535</v>
      </c>
      <c r="S38" s="58">
        <f t="shared" si="1"/>
        <v>535</v>
      </c>
      <c r="T38" s="58">
        <f t="shared" si="1"/>
        <v>535</v>
      </c>
      <c r="U38" s="58">
        <f t="shared" si="1"/>
        <v>535</v>
      </c>
      <c r="V38" s="58">
        <f t="shared" si="1"/>
        <v>535</v>
      </c>
      <c r="W38" s="58">
        <f t="shared" si="1"/>
        <v>535</v>
      </c>
      <c r="X38" s="58">
        <f t="shared" si="1"/>
        <v>535</v>
      </c>
      <c r="Y38" s="58">
        <f t="shared" si="1"/>
        <v>535</v>
      </c>
      <c r="Z38" s="58">
        <f t="shared" si="1"/>
        <v>535</v>
      </c>
      <c r="AA38" s="58">
        <f t="shared" si="1"/>
        <v>535</v>
      </c>
      <c r="AB38" s="58">
        <f t="shared" si="1"/>
        <v>535</v>
      </c>
      <c r="AC38" s="58">
        <f t="shared" si="1"/>
        <v>535</v>
      </c>
      <c r="AD38" s="58">
        <f t="shared" si="1"/>
        <v>535</v>
      </c>
      <c r="AE38" s="58">
        <f t="shared" si="1"/>
        <v>535</v>
      </c>
      <c r="AF38" s="58">
        <f t="shared" si="1"/>
        <v>535</v>
      </c>
    </row>
    <row r="39" spans="2:32" x14ac:dyDescent="0.2">
      <c r="B39" s="58" t="s">
        <v>395</v>
      </c>
      <c r="C39" s="58">
        <f>C31</f>
        <v>92</v>
      </c>
      <c r="D39" s="58">
        <f>C39+D31</f>
        <v>124</v>
      </c>
      <c r="E39" s="58">
        <f t="shared" ref="E39:F39" si="2">D39+E31</f>
        <v>142</v>
      </c>
      <c r="F39" s="58">
        <f t="shared" si="2"/>
        <v>154</v>
      </c>
      <c r="G39" s="58">
        <f>F39</f>
        <v>154</v>
      </c>
      <c r="H39" s="58">
        <f t="shared" ref="H39:I39" si="3">G39</f>
        <v>154</v>
      </c>
      <c r="I39" s="58">
        <f t="shared" si="3"/>
        <v>154</v>
      </c>
      <c r="J39" s="58">
        <f t="shared" ref="J39:AF41" si="4">I39</f>
        <v>154</v>
      </c>
      <c r="K39" s="58">
        <f t="shared" si="4"/>
        <v>154</v>
      </c>
      <c r="L39" s="58">
        <f t="shared" si="4"/>
        <v>154</v>
      </c>
      <c r="M39" s="58">
        <f t="shared" si="4"/>
        <v>154</v>
      </c>
      <c r="N39" s="58">
        <f t="shared" si="4"/>
        <v>154</v>
      </c>
      <c r="O39" s="58">
        <f t="shared" si="4"/>
        <v>154</v>
      </c>
      <c r="P39" s="58">
        <f t="shared" si="4"/>
        <v>154</v>
      </c>
      <c r="Q39" s="58">
        <f t="shared" si="4"/>
        <v>154</v>
      </c>
      <c r="R39" s="58">
        <f t="shared" si="4"/>
        <v>154</v>
      </c>
      <c r="S39" s="58">
        <f t="shared" si="4"/>
        <v>154</v>
      </c>
      <c r="T39" s="58">
        <f t="shared" si="4"/>
        <v>154</v>
      </c>
      <c r="U39" s="58">
        <f t="shared" si="4"/>
        <v>154</v>
      </c>
      <c r="V39" s="58">
        <f t="shared" si="4"/>
        <v>154</v>
      </c>
      <c r="W39" s="58">
        <f t="shared" si="4"/>
        <v>154</v>
      </c>
      <c r="X39" s="58">
        <f t="shared" si="4"/>
        <v>154</v>
      </c>
      <c r="Y39" s="58">
        <f t="shared" si="4"/>
        <v>154</v>
      </c>
      <c r="Z39" s="58">
        <f t="shared" si="4"/>
        <v>154</v>
      </c>
      <c r="AA39" s="58">
        <f t="shared" si="4"/>
        <v>154</v>
      </c>
      <c r="AB39" s="58">
        <f t="shared" si="4"/>
        <v>154</v>
      </c>
      <c r="AC39" s="58">
        <f t="shared" si="4"/>
        <v>154</v>
      </c>
      <c r="AD39" s="58">
        <f t="shared" si="4"/>
        <v>154</v>
      </c>
      <c r="AE39" s="58">
        <f t="shared" si="4"/>
        <v>154</v>
      </c>
      <c r="AF39" s="58">
        <f t="shared" si="4"/>
        <v>154</v>
      </c>
    </row>
    <row r="40" spans="2:32" x14ac:dyDescent="0.2">
      <c r="B40" s="58" t="s">
        <v>390</v>
      </c>
      <c r="C40" s="58"/>
      <c r="D40" s="58"/>
      <c r="E40" s="58"/>
      <c r="F40" s="58"/>
      <c r="G40" s="58"/>
      <c r="H40" s="58">
        <v>12</v>
      </c>
      <c r="I40" s="58">
        <f>H40</f>
        <v>12</v>
      </c>
      <c r="J40" s="58">
        <f t="shared" si="4"/>
        <v>12</v>
      </c>
      <c r="K40" s="58">
        <f t="shared" si="4"/>
        <v>12</v>
      </c>
      <c r="L40" s="58">
        <f t="shared" si="4"/>
        <v>12</v>
      </c>
      <c r="M40" s="58">
        <f t="shared" si="4"/>
        <v>12</v>
      </c>
      <c r="N40" s="58">
        <f t="shared" si="4"/>
        <v>12</v>
      </c>
      <c r="O40" s="58">
        <f t="shared" si="4"/>
        <v>12</v>
      </c>
      <c r="P40" s="58">
        <f t="shared" si="4"/>
        <v>12</v>
      </c>
      <c r="Q40" s="58">
        <f t="shared" si="4"/>
        <v>12</v>
      </c>
      <c r="R40" s="58">
        <f t="shared" si="4"/>
        <v>12</v>
      </c>
      <c r="S40" s="58">
        <f t="shared" si="4"/>
        <v>12</v>
      </c>
      <c r="T40" s="58">
        <f t="shared" si="4"/>
        <v>12</v>
      </c>
      <c r="U40" s="58">
        <f t="shared" si="4"/>
        <v>12</v>
      </c>
      <c r="V40" s="58">
        <f t="shared" si="4"/>
        <v>12</v>
      </c>
      <c r="W40" s="58">
        <f t="shared" si="4"/>
        <v>12</v>
      </c>
      <c r="X40" s="58">
        <f t="shared" si="4"/>
        <v>12</v>
      </c>
      <c r="Y40" s="58">
        <f t="shared" si="4"/>
        <v>12</v>
      </c>
      <c r="Z40" s="58">
        <f t="shared" si="4"/>
        <v>12</v>
      </c>
      <c r="AA40" s="58">
        <f t="shared" si="4"/>
        <v>12</v>
      </c>
      <c r="AB40" s="58">
        <f t="shared" si="4"/>
        <v>12</v>
      </c>
      <c r="AC40" s="58">
        <f t="shared" si="4"/>
        <v>12</v>
      </c>
      <c r="AD40" s="58">
        <f t="shared" si="4"/>
        <v>12</v>
      </c>
      <c r="AE40" s="58">
        <f t="shared" si="4"/>
        <v>12</v>
      </c>
      <c r="AF40" s="58">
        <f t="shared" si="4"/>
        <v>12</v>
      </c>
    </row>
    <row r="41" spans="2:32" x14ac:dyDescent="0.2">
      <c r="B41" s="58" t="s">
        <v>396</v>
      </c>
      <c r="C41" s="58"/>
      <c r="D41" s="58"/>
      <c r="E41" s="58"/>
      <c r="F41" s="58"/>
      <c r="G41" s="58"/>
      <c r="H41" s="58">
        <v>12</v>
      </c>
      <c r="I41" s="58">
        <f>H41</f>
        <v>12</v>
      </c>
      <c r="J41" s="58">
        <f t="shared" si="4"/>
        <v>12</v>
      </c>
      <c r="K41" s="58">
        <f t="shared" si="4"/>
        <v>12</v>
      </c>
      <c r="L41" s="58">
        <f t="shared" si="4"/>
        <v>12</v>
      </c>
      <c r="M41" s="58">
        <f t="shared" si="4"/>
        <v>12</v>
      </c>
      <c r="N41" s="58">
        <f t="shared" si="4"/>
        <v>12</v>
      </c>
      <c r="O41" s="58">
        <f t="shared" si="4"/>
        <v>12</v>
      </c>
      <c r="P41" s="58">
        <f t="shared" si="4"/>
        <v>12</v>
      </c>
      <c r="Q41" s="58">
        <f t="shared" si="4"/>
        <v>12</v>
      </c>
      <c r="R41" s="58">
        <f t="shared" si="4"/>
        <v>12</v>
      </c>
      <c r="S41" s="58">
        <f t="shared" si="4"/>
        <v>12</v>
      </c>
      <c r="T41" s="58">
        <f t="shared" si="4"/>
        <v>12</v>
      </c>
      <c r="U41" s="58">
        <f t="shared" si="4"/>
        <v>12</v>
      </c>
      <c r="V41" s="58">
        <f t="shared" si="4"/>
        <v>12</v>
      </c>
      <c r="W41" s="58">
        <f t="shared" si="4"/>
        <v>12</v>
      </c>
      <c r="X41" s="58">
        <f t="shared" si="4"/>
        <v>12</v>
      </c>
      <c r="Y41" s="58">
        <f t="shared" si="4"/>
        <v>12</v>
      </c>
      <c r="Z41" s="58">
        <f t="shared" si="4"/>
        <v>12</v>
      </c>
      <c r="AA41" s="58">
        <f t="shared" si="4"/>
        <v>12</v>
      </c>
      <c r="AB41" s="58">
        <f t="shared" si="4"/>
        <v>12</v>
      </c>
      <c r="AC41" s="58">
        <f t="shared" si="4"/>
        <v>12</v>
      </c>
      <c r="AD41" s="58">
        <f t="shared" si="4"/>
        <v>12</v>
      </c>
      <c r="AE41" s="58">
        <f t="shared" si="4"/>
        <v>12</v>
      </c>
      <c r="AF41" s="58">
        <f t="shared" si="4"/>
        <v>12</v>
      </c>
    </row>
    <row r="42" spans="2:32" x14ac:dyDescent="0.2">
      <c r="B42" s="59" t="s">
        <v>310</v>
      </c>
      <c r="C42" s="59">
        <f t="shared" ref="C42:AF42" si="5">SUM(C38:C39)</f>
        <v>627</v>
      </c>
      <c r="D42" s="59">
        <f t="shared" si="5"/>
        <v>659</v>
      </c>
      <c r="E42" s="59">
        <f t="shared" si="5"/>
        <v>677</v>
      </c>
      <c r="F42" s="59">
        <f t="shared" si="5"/>
        <v>689</v>
      </c>
      <c r="G42" s="59">
        <f t="shared" si="5"/>
        <v>689</v>
      </c>
      <c r="H42" s="59">
        <f t="shared" si="5"/>
        <v>689</v>
      </c>
      <c r="I42" s="59">
        <f t="shared" si="5"/>
        <v>689</v>
      </c>
      <c r="J42" s="59">
        <f t="shared" si="5"/>
        <v>689</v>
      </c>
      <c r="K42" s="59">
        <f t="shared" si="5"/>
        <v>689</v>
      </c>
      <c r="L42" s="59">
        <f t="shared" si="5"/>
        <v>689</v>
      </c>
      <c r="M42" s="59">
        <f t="shared" si="5"/>
        <v>689</v>
      </c>
      <c r="N42" s="59">
        <f t="shared" si="5"/>
        <v>689</v>
      </c>
      <c r="O42" s="59">
        <f t="shared" si="5"/>
        <v>689</v>
      </c>
      <c r="P42" s="59">
        <f t="shared" si="5"/>
        <v>689</v>
      </c>
      <c r="Q42" s="59">
        <f t="shared" si="5"/>
        <v>689</v>
      </c>
      <c r="R42" s="59">
        <f t="shared" si="5"/>
        <v>689</v>
      </c>
      <c r="S42" s="59">
        <f t="shared" si="5"/>
        <v>689</v>
      </c>
      <c r="T42" s="59">
        <f t="shared" si="5"/>
        <v>689</v>
      </c>
      <c r="U42" s="59">
        <f t="shared" si="5"/>
        <v>689</v>
      </c>
      <c r="V42" s="59">
        <f t="shared" si="5"/>
        <v>689</v>
      </c>
      <c r="W42" s="59">
        <f t="shared" si="5"/>
        <v>689</v>
      </c>
      <c r="X42" s="59">
        <f t="shared" si="5"/>
        <v>689</v>
      </c>
      <c r="Y42" s="59">
        <f t="shared" si="5"/>
        <v>689</v>
      </c>
      <c r="Z42" s="59">
        <f t="shared" si="5"/>
        <v>689</v>
      </c>
      <c r="AA42" s="59">
        <f t="shared" si="5"/>
        <v>689</v>
      </c>
      <c r="AB42" s="59">
        <f t="shared" si="5"/>
        <v>689</v>
      </c>
      <c r="AC42" s="59">
        <f t="shared" si="5"/>
        <v>689</v>
      </c>
      <c r="AD42" s="59">
        <f t="shared" si="5"/>
        <v>689</v>
      </c>
      <c r="AE42" s="59">
        <f t="shared" si="5"/>
        <v>689</v>
      </c>
      <c r="AF42" s="59">
        <f t="shared" si="5"/>
        <v>689</v>
      </c>
    </row>
    <row r="43" spans="2:32" x14ac:dyDescent="0.2">
      <c r="B43" s="78" t="s">
        <v>422</v>
      </c>
      <c r="C43" s="79">
        <f>$C$8+$C$10+C39</f>
        <v>415</v>
      </c>
      <c r="D43" s="80">
        <f t="shared" ref="D43:AF43" si="6">$C$8+$C$10+D39</f>
        <v>447</v>
      </c>
      <c r="E43" s="80">
        <f t="shared" si="6"/>
        <v>465</v>
      </c>
      <c r="F43" s="80">
        <f t="shared" si="6"/>
        <v>477</v>
      </c>
      <c r="G43" s="80">
        <f t="shared" si="6"/>
        <v>477</v>
      </c>
      <c r="H43" s="80">
        <f>$C$8+$C$10+H39</f>
        <v>477</v>
      </c>
      <c r="I43" s="80">
        <f t="shared" si="6"/>
        <v>477</v>
      </c>
      <c r="J43" s="80">
        <f t="shared" si="6"/>
        <v>477</v>
      </c>
      <c r="K43" s="80">
        <f t="shared" si="6"/>
        <v>477</v>
      </c>
      <c r="L43" s="80">
        <f t="shared" si="6"/>
        <v>477</v>
      </c>
      <c r="M43" s="80">
        <f t="shared" si="6"/>
        <v>477</v>
      </c>
      <c r="N43" s="80">
        <f t="shared" si="6"/>
        <v>477</v>
      </c>
      <c r="O43" s="80">
        <f t="shared" si="6"/>
        <v>477</v>
      </c>
      <c r="P43" s="80">
        <f t="shared" si="6"/>
        <v>477</v>
      </c>
      <c r="Q43" s="80">
        <f t="shared" si="6"/>
        <v>477</v>
      </c>
      <c r="R43" s="80">
        <f t="shared" si="6"/>
        <v>477</v>
      </c>
      <c r="S43" s="80">
        <f t="shared" si="6"/>
        <v>477</v>
      </c>
      <c r="T43" s="80">
        <f t="shared" si="6"/>
        <v>477</v>
      </c>
      <c r="U43" s="80">
        <f t="shared" si="6"/>
        <v>477</v>
      </c>
      <c r="V43" s="80">
        <f t="shared" si="6"/>
        <v>477</v>
      </c>
      <c r="W43" s="80">
        <f t="shared" si="6"/>
        <v>477</v>
      </c>
      <c r="X43" s="80">
        <f t="shared" si="6"/>
        <v>477</v>
      </c>
      <c r="Y43" s="80">
        <f t="shared" si="6"/>
        <v>477</v>
      </c>
      <c r="Z43" s="80">
        <f t="shared" si="6"/>
        <v>477</v>
      </c>
      <c r="AA43" s="80">
        <f t="shared" si="6"/>
        <v>477</v>
      </c>
      <c r="AB43" s="80">
        <f t="shared" si="6"/>
        <v>477</v>
      </c>
      <c r="AC43" s="80">
        <f t="shared" si="6"/>
        <v>477</v>
      </c>
      <c r="AD43" s="80">
        <f t="shared" si="6"/>
        <v>477</v>
      </c>
      <c r="AE43" s="80">
        <f t="shared" si="6"/>
        <v>477</v>
      </c>
      <c r="AF43" s="80">
        <f t="shared" si="6"/>
        <v>477</v>
      </c>
    </row>
    <row r="44" spans="2:32" x14ac:dyDescent="0.2">
      <c r="B44" s="78" t="s">
        <v>423</v>
      </c>
      <c r="C44" s="80"/>
      <c r="D44" s="80"/>
      <c r="E44" s="80"/>
      <c r="F44" s="80"/>
      <c r="G44" s="80"/>
      <c r="H44" s="80">
        <f>$C$8+$C$32+$C$33+$C$10</f>
        <v>497</v>
      </c>
      <c r="I44" s="80">
        <f t="shared" ref="I44:AF44" si="7">$C$8+$C$32+$C$33+$C$10</f>
        <v>497</v>
      </c>
      <c r="J44" s="80">
        <f t="shared" si="7"/>
        <v>497</v>
      </c>
      <c r="K44" s="80">
        <f t="shared" si="7"/>
        <v>497</v>
      </c>
      <c r="L44" s="80">
        <f t="shared" si="7"/>
        <v>497</v>
      </c>
      <c r="M44" s="80">
        <f t="shared" si="7"/>
        <v>497</v>
      </c>
      <c r="N44" s="80">
        <f t="shared" si="7"/>
        <v>497</v>
      </c>
      <c r="O44" s="80">
        <f t="shared" si="7"/>
        <v>497</v>
      </c>
      <c r="P44" s="80">
        <f t="shared" si="7"/>
        <v>497</v>
      </c>
      <c r="Q44" s="80">
        <f t="shared" si="7"/>
        <v>497</v>
      </c>
      <c r="R44" s="80">
        <f t="shared" si="7"/>
        <v>497</v>
      </c>
      <c r="S44" s="80">
        <f t="shared" si="7"/>
        <v>497</v>
      </c>
      <c r="T44" s="80">
        <f t="shared" si="7"/>
        <v>497</v>
      </c>
      <c r="U44" s="80">
        <f t="shared" si="7"/>
        <v>497</v>
      </c>
      <c r="V44" s="80">
        <f t="shared" si="7"/>
        <v>497</v>
      </c>
      <c r="W44" s="80">
        <f t="shared" si="7"/>
        <v>497</v>
      </c>
      <c r="X44" s="80">
        <f t="shared" si="7"/>
        <v>497</v>
      </c>
      <c r="Y44" s="80">
        <f t="shared" si="7"/>
        <v>497</v>
      </c>
      <c r="Z44" s="80">
        <f t="shared" si="7"/>
        <v>497</v>
      </c>
      <c r="AA44" s="80">
        <f t="shared" si="7"/>
        <v>497</v>
      </c>
      <c r="AB44" s="80">
        <f t="shared" si="7"/>
        <v>497</v>
      </c>
      <c r="AC44" s="80">
        <f t="shared" si="7"/>
        <v>497</v>
      </c>
      <c r="AD44" s="80">
        <f t="shared" si="7"/>
        <v>497</v>
      </c>
      <c r="AE44" s="80">
        <f t="shared" si="7"/>
        <v>497</v>
      </c>
      <c r="AF44" s="80">
        <f t="shared" si="7"/>
        <v>497</v>
      </c>
    </row>
    <row r="45" spans="2:32" x14ac:dyDescent="0.2">
      <c r="B45" s="75" t="s">
        <v>324</v>
      </c>
    </row>
    <row r="48" spans="2:32" x14ac:dyDescent="0.2">
      <c r="B48" s="56" t="s">
        <v>342</v>
      </c>
    </row>
    <row r="49" spans="2:3" x14ac:dyDescent="0.2">
      <c r="B49" s="58" t="s">
        <v>217</v>
      </c>
      <c r="C49" s="81">
        <v>2533</v>
      </c>
    </row>
    <row r="50" spans="2:3" x14ac:dyDescent="0.2">
      <c r="B50" s="58" t="s">
        <v>343</v>
      </c>
      <c r="C50" s="82">
        <v>12665</v>
      </c>
    </row>
    <row r="51" spans="2:3" x14ac:dyDescent="0.2">
      <c r="B51" s="58" t="s">
        <v>417</v>
      </c>
      <c r="C51" s="82">
        <v>1320</v>
      </c>
    </row>
    <row r="52" spans="2:3" x14ac:dyDescent="0.2">
      <c r="B52" s="58" t="s">
        <v>418</v>
      </c>
      <c r="C52" s="82">
        <v>4799</v>
      </c>
    </row>
    <row r="53" spans="2:3" x14ac:dyDescent="0.2">
      <c r="B53" s="58" t="s">
        <v>419</v>
      </c>
      <c r="C53" s="82">
        <v>180</v>
      </c>
    </row>
    <row r="54" spans="2:3" x14ac:dyDescent="0.2">
      <c r="B54" s="58" t="s">
        <v>218</v>
      </c>
      <c r="C54" s="58">
        <v>60</v>
      </c>
    </row>
    <row r="55" spans="2:3" x14ac:dyDescent="0.2">
      <c r="B55" s="75" t="s">
        <v>344</v>
      </c>
      <c r="C55" s="61"/>
    </row>
    <row r="56" spans="2:3" x14ac:dyDescent="0.2">
      <c r="B56" s="75"/>
      <c r="C56" s="61"/>
    </row>
    <row r="58" spans="2:3" x14ac:dyDescent="0.2">
      <c r="B58" s="56" t="s">
        <v>424</v>
      </c>
    </row>
    <row r="59" spans="2:3" x14ac:dyDescent="0.2">
      <c r="B59" s="58" t="s">
        <v>425</v>
      </c>
      <c r="C59" s="81">
        <v>200000</v>
      </c>
    </row>
    <row r="60" spans="2:3" x14ac:dyDescent="0.2">
      <c r="B60" s="58" t="s">
        <v>426</v>
      </c>
      <c r="C60" s="81">
        <v>2000000</v>
      </c>
    </row>
    <row r="61" spans="2:3" x14ac:dyDescent="0.2">
      <c r="B61" s="58" t="s">
        <v>427</v>
      </c>
      <c r="C61" s="81">
        <f>(C51+C52+C53)*C67</f>
        <v>11338200</v>
      </c>
    </row>
    <row r="62" spans="2:3" x14ac:dyDescent="0.2">
      <c r="B62" s="58" t="s">
        <v>428</v>
      </c>
      <c r="C62" s="81">
        <f>C50*C68</f>
        <v>24696750</v>
      </c>
    </row>
    <row r="63" spans="2:3" x14ac:dyDescent="0.2">
      <c r="B63" s="59" t="s">
        <v>429</v>
      </c>
      <c r="C63" s="83">
        <f>SUM(C59:C62)</f>
        <v>38234950</v>
      </c>
    </row>
    <row r="66" spans="2:3" x14ac:dyDescent="0.2">
      <c r="B66" s="56" t="s">
        <v>430</v>
      </c>
    </row>
    <row r="67" spans="2:3" x14ac:dyDescent="0.2">
      <c r="B67" s="58" t="s">
        <v>431</v>
      </c>
      <c r="C67" s="81">
        <v>1800</v>
      </c>
    </row>
    <row r="68" spans="2:3" x14ac:dyDescent="0.2">
      <c r="B68" s="58" t="s">
        <v>432</v>
      </c>
      <c r="C68" s="81">
        <v>1950</v>
      </c>
    </row>
    <row r="72" spans="2:3" x14ac:dyDescent="0.2">
      <c r="B72" s="56" t="s">
        <v>257</v>
      </c>
    </row>
    <row r="73" spans="2:3" x14ac:dyDescent="0.2">
      <c r="B73" s="58" t="s">
        <v>221</v>
      </c>
      <c r="C73" s="84">
        <f>C133*(D9+D8)*(C137+C138+C139)</f>
        <v>17915.5998</v>
      </c>
    </row>
    <row r="74" spans="2:3" x14ac:dyDescent="0.2">
      <c r="B74" s="58" t="s">
        <v>383</v>
      </c>
      <c r="C74" s="84">
        <f>D13/2*C134*(C137+C138+C139)</f>
        <v>7838.4204</v>
      </c>
    </row>
    <row r="75" spans="2:3" x14ac:dyDescent="0.2">
      <c r="B75" s="58" t="s">
        <v>384</v>
      </c>
      <c r="C75" s="84">
        <f>C177*C196</f>
        <v>13507.838749999999</v>
      </c>
    </row>
    <row r="76" spans="2:3" x14ac:dyDescent="0.2">
      <c r="B76" s="58" t="s">
        <v>336</v>
      </c>
      <c r="C76" s="84">
        <f>C50*E184/1000*C196</f>
        <v>115657.53989999999</v>
      </c>
    </row>
    <row r="77" spans="2:3" x14ac:dyDescent="0.2">
      <c r="B77" s="58" t="s">
        <v>337</v>
      </c>
      <c r="C77" s="84">
        <f>C51*E185/1000*C196</f>
        <v>18483.28944</v>
      </c>
    </row>
    <row r="78" spans="2:3" x14ac:dyDescent="0.2">
      <c r="B78" s="58" t="s">
        <v>338</v>
      </c>
      <c r="C78" s="84">
        <f>C174*C196</f>
        <v>9466.1472830399998</v>
      </c>
    </row>
    <row r="79" spans="2:3" x14ac:dyDescent="0.2">
      <c r="B79" s="58" t="s">
        <v>220</v>
      </c>
      <c r="C79" s="85">
        <f>C150*(C50+C51/2)*12</f>
        <v>623610</v>
      </c>
    </row>
    <row r="80" spans="2:3" x14ac:dyDescent="0.2">
      <c r="B80" s="59" t="s">
        <v>219</v>
      </c>
      <c r="C80" s="86">
        <f>SUM(C73:C79)</f>
        <v>806478.83557303995</v>
      </c>
    </row>
    <row r="81" spans="2:3" x14ac:dyDescent="0.2">
      <c r="B81" s="60"/>
      <c r="C81" s="87"/>
    </row>
    <row r="83" spans="2:3" x14ac:dyDescent="0.2">
      <c r="B83" s="56" t="s">
        <v>340</v>
      </c>
    </row>
    <row r="84" spans="2:3" x14ac:dyDescent="0.2">
      <c r="B84" s="58" t="s">
        <v>221</v>
      </c>
      <c r="C84" s="84">
        <f>C133*C10*(C137+C138+C139)</f>
        <v>541.72440000000006</v>
      </c>
    </row>
    <row r="85" spans="2:3" x14ac:dyDescent="0.2">
      <c r="B85" s="58" t="s">
        <v>339</v>
      </c>
      <c r="C85" s="84">
        <f>C124*12*E184/E186</f>
        <v>4474.6332425068122</v>
      </c>
    </row>
    <row r="86" spans="2:3" x14ac:dyDescent="0.2">
      <c r="B86" s="58" t="s">
        <v>220</v>
      </c>
      <c r="C86" s="84">
        <f>C123+C122+C121</f>
        <v>14581.111538461539</v>
      </c>
    </row>
    <row r="87" spans="2:3" x14ac:dyDescent="0.2">
      <c r="B87" s="59" t="s">
        <v>219</v>
      </c>
      <c r="C87" s="86">
        <f>SUM(C84:C86)</f>
        <v>19597.46918096835</v>
      </c>
    </row>
    <row r="90" spans="2:3" x14ac:dyDescent="0.2">
      <c r="B90" s="56" t="s">
        <v>249</v>
      </c>
    </row>
    <row r="91" spans="2:3" x14ac:dyDescent="0.2">
      <c r="B91" s="58" t="s">
        <v>222</v>
      </c>
      <c r="C91" s="84">
        <v>8601.85</v>
      </c>
    </row>
    <row r="92" spans="2:3" x14ac:dyDescent="0.2">
      <c r="B92" s="58" t="s">
        <v>223</v>
      </c>
      <c r="C92" s="84">
        <v>23.69</v>
      </c>
    </row>
    <row r="93" spans="2:3" x14ac:dyDescent="0.2">
      <c r="B93" s="58" t="s">
        <v>224</v>
      </c>
      <c r="C93" s="84">
        <v>18.59</v>
      </c>
    </row>
    <row r="94" spans="2:3" x14ac:dyDescent="0.2">
      <c r="B94" s="58" t="s">
        <v>225</v>
      </c>
      <c r="C94" s="84">
        <v>101.59</v>
      </c>
    </row>
    <row r="95" spans="2:3" x14ac:dyDescent="0.2">
      <c r="B95" s="59" t="s">
        <v>227</v>
      </c>
      <c r="C95" s="86">
        <f>SUM(C91:C94)</f>
        <v>8745.7200000000012</v>
      </c>
    </row>
    <row r="96" spans="2:3" x14ac:dyDescent="0.2">
      <c r="B96" s="58" t="s">
        <v>226</v>
      </c>
      <c r="C96" s="58">
        <v>110</v>
      </c>
    </row>
    <row r="97" spans="2:32" x14ac:dyDescent="0.2">
      <c r="B97" s="88" t="s">
        <v>385</v>
      </c>
    </row>
    <row r="98" spans="2:32" x14ac:dyDescent="0.2">
      <c r="B98" s="88"/>
    </row>
    <row r="99" spans="2:32" x14ac:dyDescent="0.2">
      <c r="B99" s="88"/>
    </row>
    <row r="100" spans="2:32" x14ac:dyDescent="0.2">
      <c r="B100" s="89" t="s">
        <v>330</v>
      </c>
    </row>
    <row r="101" spans="2:32" x14ac:dyDescent="0.2">
      <c r="B101" s="58" t="s">
        <v>226</v>
      </c>
      <c r="C101" s="58">
        <v>15</v>
      </c>
    </row>
    <row r="102" spans="2:32" ht="12.95" customHeight="1" x14ac:dyDescent="0.2">
      <c r="B102" s="75" t="s">
        <v>324</v>
      </c>
    </row>
    <row r="103" spans="2:32" ht="12.95" customHeight="1" x14ac:dyDescent="0.2"/>
    <row r="104" spans="2:32" ht="12.95" customHeight="1" x14ac:dyDescent="0.2">
      <c r="B104" s="56" t="s">
        <v>311</v>
      </c>
    </row>
    <row r="105" spans="2:32" ht="12.95" customHeight="1" x14ac:dyDescent="0.2">
      <c r="B105" s="77" t="s">
        <v>9</v>
      </c>
      <c r="C105" s="57">
        <v>2022</v>
      </c>
      <c r="D105" s="57">
        <v>2023</v>
      </c>
      <c r="E105" s="57">
        <v>2024</v>
      </c>
      <c r="F105" s="57">
        <v>2025</v>
      </c>
      <c r="G105" s="57">
        <v>2026</v>
      </c>
      <c r="H105" s="57">
        <v>2027</v>
      </c>
      <c r="I105" s="57">
        <v>2028</v>
      </c>
      <c r="J105" s="57">
        <v>2029</v>
      </c>
      <c r="K105" s="57">
        <v>2030</v>
      </c>
      <c r="L105" s="57">
        <v>2031</v>
      </c>
      <c r="M105" s="57">
        <v>2032</v>
      </c>
      <c r="N105" s="57">
        <v>2033</v>
      </c>
      <c r="O105" s="57">
        <v>2034</v>
      </c>
      <c r="P105" s="57">
        <v>2035</v>
      </c>
      <c r="Q105" s="57">
        <v>2036</v>
      </c>
      <c r="R105" s="57">
        <v>2037</v>
      </c>
      <c r="S105" s="57">
        <v>2038</v>
      </c>
      <c r="T105" s="57">
        <v>2039</v>
      </c>
      <c r="U105" s="57">
        <v>2040</v>
      </c>
      <c r="V105" s="57">
        <v>2041</v>
      </c>
      <c r="W105" s="57">
        <v>2042</v>
      </c>
      <c r="X105" s="57">
        <v>2043</v>
      </c>
      <c r="Y105" s="57">
        <v>2044</v>
      </c>
      <c r="Z105" s="57">
        <v>2045</v>
      </c>
      <c r="AA105" s="57">
        <v>2046</v>
      </c>
      <c r="AB105" s="57">
        <v>2047</v>
      </c>
      <c r="AC105" s="57">
        <v>2048</v>
      </c>
      <c r="AD105" s="57">
        <v>2049</v>
      </c>
      <c r="AE105" s="57">
        <v>2050</v>
      </c>
      <c r="AF105" s="57">
        <v>2051</v>
      </c>
    </row>
    <row r="106" spans="2:32" ht="12.95" customHeight="1" x14ac:dyDescent="0.2">
      <c r="B106" s="58" t="s">
        <v>312</v>
      </c>
      <c r="C106" s="82">
        <f>ROUNDDOWN($C$50/$F$43*C43,0)</f>
        <v>11018</v>
      </c>
      <c r="D106" s="82">
        <f>ROUNDDOWN($C$50/$F$43*D43,0)</f>
        <v>11868</v>
      </c>
      <c r="E106" s="82">
        <f>ROUNDDOWN($C$50/$F$43*E43,0)</f>
        <v>12346</v>
      </c>
      <c r="F106" s="82">
        <f>C50</f>
        <v>12665</v>
      </c>
      <c r="G106" s="82">
        <f>F106</f>
        <v>12665</v>
      </c>
      <c r="H106" s="82">
        <f t="shared" ref="H106:W107" si="8">G106</f>
        <v>12665</v>
      </c>
      <c r="I106" s="82">
        <f t="shared" si="8"/>
        <v>12665</v>
      </c>
      <c r="J106" s="82">
        <f t="shared" si="8"/>
        <v>12665</v>
      </c>
      <c r="K106" s="82">
        <f t="shared" si="8"/>
        <v>12665</v>
      </c>
      <c r="L106" s="82">
        <f t="shared" si="8"/>
        <v>12665</v>
      </c>
      <c r="M106" s="82">
        <f t="shared" si="8"/>
        <v>12665</v>
      </c>
      <c r="N106" s="82">
        <f t="shared" si="8"/>
        <v>12665</v>
      </c>
      <c r="O106" s="82">
        <f t="shared" si="8"/>
        <v>12665</v>
      </c>
      <c r="P106" s="82">
        <f t="shared" si="8"/>
        <v>12665</v>
      </c>
      <c r="Q106" s="82">
        <f t="shared" si="8"/>
        <v>12665</v>
      </c>
      <c r="R106" s="82">
        <f t="shared" si="8"/>
        <v>12665</v>
      </c>
      <c r="S106" s="82">
        <f t="shared" si="8"/>
        <v>12665</v>
      </c>
      <c r="T106" s="82">
        <f t="shared" si="8"/>
        <v>12665</v>
      </c>
      <c r="U106" s="82">
        <f t="shared" si="8"/>
        <v>12665</v>
      </c>
      <c r="V106" s="82">
        <f t="shared" si="8"/>
        <v>12665</v>
      </c>
      <c r="W106" s="82">
        <f t="shared" si="8"/>
        <v>12665</v>
      </c>
      <c r="X106" s="82">
        <f t="shared" ref="X106:AF106" si="9">W106</f>
        <v>12665</v>
      </c>
      <c r="Y106" s="82">
        <f t="shared" si="9"/>
        <v>12665</v>
      </c>
      <c r="Z106" s="82">
        <f t="shared" si="9"/>
        <v>12665</v>
      </c>
      <c r="AA106" s="82">
        <f t="shared" si="9"/>
        <v>12665</v>
      </c>
      <c r="AB106" s="82">
        <f t="shared" si="9"/>
        <v>12665</v>
      </c>
      <c r="AC106" s="82">
        <f t="shared" si="9"/>
        <v>12665</v>
      </c>
      <c r="AD106" s="82">
        <f t="shared" si="9"/>
        <v>12665</v>
      </c>
      <c r="AE106" s="82">
        <f t="shared" si="9"/>
        <v>12665</v>
      </c>
      <c r="AF106" s="82">
        <f t="shared" si="9"/>
        <v>12665</v>
      </c>
    </row>
    <row r="107" spans="2:32" ht="12.95" customHeight="1" x14ac:dyDescent="0.2">
      <c r="B107" s="58" t="s">
        <v>313</v>
      </c>
      <c r="C107" s="82">
        <f t="shared" ref="C107:D107" si="10">ROUNDDOWN(C106/$F$106*D107,0)</f>
        <v>1048</v>
      </c>
      <c r="D107" s="82">
        <f t="shared" si="10"/>
        <v>1205</v>
      </c>
      <c r="E107" s="82">
        <f>ROUNDDOWN(E106/$F$106*F107,0)</f>
        <v>1286</v>
      </c>
      <c r="F107" s="82">
        <f>C51</f>
        <v>1320</v>
      </c>
      <c r="G107" s="82">
        <f>F107</f>
        <v>1320</v>
      </c>
      <c r="H107" s="58">
        <f t="shared" si="8"/>
        <v>1320</v>
      </c>
      <c r="I107" s="58">
        <f t="shared" ref="I107:AF108" si="11">H107</f>
        <v>1320</v>
      </c>
      <c r="J107" s="58">
        <f t="shared" si="11"/>
        <v>1320</v>
      </c>
      <c r="K107" s="58">
        <f t="shared" si="11"/>
        <v>1320</v>
      </c>
      <c r="L107" s="58">
        <f t="shared" si="11"/>
        <v>1320</v>
      </c>
      <c r="M107" s="58">
        <f t="shared" si="11"/>
        <v>1320</v>
      </c>
      <c r="N107" s="58">
        <f t="shared" si="11"/>
        <v>1320</v>
      </c>
      <c r="O107" s="58">
        <f t="shared" si="11"/>
        <v>1320</v>
      </c>
      <c r="P107" s="58">
        <f t="shared" si="11"/>
        <v>1320</v>
      </c>
      <c r="Q107" s="58">
        <f t="shared" si="11"/>
        <v>1320</v>
      </c>
      <c r="R107" s="58">
        <f t="shared" si="11"/>
        <v>1320</v>
      </c>
      <c r="S107" s="58">
        <f t="shared" si="11"/>
        <v>1320</v>
      </c>
      <c r="T107" s="58">
        <f t="shared" si="11"/>
        <v>1320</v>
      </c>
      <c r="U107" s="58">
        <f t="shared" si="11"/>
        <v>1320</v>
      </c>
      <c r="V107" s="58">
        <f t="shared" si="11"/>
        <v>1320</v>
      </c>
      <c r="W107" s="58">
        <f t="shared" si="11"/>
        <v>1320</v>
      </c>
      <c r="X107" s="58">
        <f t="shared" si="11"/>
        <v>1320</v>
      </c>
      <c r="Y107" s="58">
        <f t="shared" si="11"/>
        <v>1320</v>
      </c>
      <c r="Z107" s="58">
        <f t="shared" si="11"/>
        <v>1320</v>
      </c>
      <c r="AA107" s="58">
        <f t="shared" si="11"/>
        <v>1320</v>
      </c>
      <c r="AB107" s="58">
        <f t="shared" si="11"/>
        <v>1320</v>
      </c>
      <c r="AC107" s="58">
        <f t="shared" si="11"/>
        <v>1320</v>
      </c>
      <c r="AD107" s="58">
        <f t="shared" si="11"/>
        <v>1320</v>
      </c>
      <c r="AE107" s="58">
        <f t="shared" si="11"/>
        <v>1320</v>
      </c>
      <c r="AF107" s="58">
        <f t="shared" si="11"/>
        <v>1320</v>
      </c>
    </row>
    <row r="108" spans="2:32" ht="12.95" customHeight="1" x14ac:dyDescent="0.2">
      <c r="B108" s="58" t="s">
        <v>280</v>
      </c>
      <c r="C108" s="58">
        <f>ROUNDDOWN($C$156+$C$158+$C$157/$F$43*C43,0)</f>
        <v>161</v>
      </c>
      <c r="D108" s="58">
        <f>ROUNDDOWN($C$156+$C$158+$C$157/$F$43*D43,0)</f>
        <v>165</v>
      </c>
      <c r="E108" s="58">
        <f>ROUNDDOWN($C$156+$C$158+$C$157/$F$43*E43,0)</f>
        <v>168</v>
      </c>
      <c r="F108" s="58">
        <f>C159</f>
        <v>170</v>
      </c>
      <c r="G108" s="58">
        <f>F108</f>
        <v>170</v>
      </c>
      <c r="H108" s="58">
        <f>G108</f>
        <v>170</v>
      </c>
      <c r="I108" s="58">
        <f t="shared" si="11"/>
        <v>170</v>
      </c>
      <c r="J108" s="58">
        <f t="shared" si="11"/>
        <v>170</v>
      </c>
      <c r="K108" s="58">
        <f t="shared" si="11"/>
        <v>170</v>
      </c>
      <c r="L108" s="58">
        <f t="shared" si="11"/>
        <v>170</v>
      </c>
      <c r="M108" s="58">
        <f t="shared" si="11"/>
        <v>170</v>
      </c>
      <c r="N108" s="58">
        <f t="shared" si="11"/>
        <v>170</v>
      </c>
      <c r="O108" s="58">
        <f t="shared" si="11"/>
        <v>170</v>
      </c>
      <c r="P108" s="58">
        <f t="shared" si="11"/>
        <v>170</v>
      </c>
      <c r="Q108" s="58">
        <f t="shared" si="11"/>
        <v>170</v>
      </c>
      <c r="R108" s="58">
        <f t="shared" si="11"/>
        <v>170</v>
      </c>
      <c r="S108" s="58">
        <f t="shared" si="11"/>
        <v>170</v>
      </c>
      <c r="T108" s="58">
        <f t="shared" si="11"/>
        <v>170</v>
      </c>
      <c r="U108" s="58">
        <f t="shared" si="11"/>
        <v>170</v>
      </c>
      <c r="V108" s="58">
        <f t="shared" si="11"/>
        <v>170</v>
      </c>
      <c r="W108" s="58">
        <f t="shared" si="11"/>
        <v>170</v>
      </c>
      <c r="X108" s="58">
        <f t="shared" si="11"/>
        <v>170</v>
      </c>
      <c r="Y108" s="58">
        <f t="shared" si="11"/>
        <v>170</v>
      </c>
      <c r="Z108" s="58">
        <f t="shared" si="11"/>
        <v>170</v>
      </c>
      <c r="AA108" s="58">
        <f t="shared" si="11"/>
        <v>170</v>
      </c>
      <c r="AB108" s="58">
        <f t="shared" si="11"/>
        <v>170</v>
      </c>
      <c r="AC108" s="58">
        <f t="shared" si="11"/>
        <v>170</v>
      </c>
      <c r="AD108" s="58">
        <f t="shared" si="11"/>
        <v>170</v>
      </c>
      <c r="AE108" s="58">
        <f t="shared" si="11"/>
        <v>170</v>
      </c>
      <c r="AF108" s="58">
        <f t="shared" si="11"/>
        <v>170</v>
      </c>
    </row>
    <row r="109" spans="2:32" ht="12.95" customHeight="1" x14ac:dyDescent="0.2"/>
    <row r="110" spans="2:32" x14ac:dyDescent="0.2">
      <c r="B110" s="56" t="s">
        <v>285</v>
      </c>
    </row>
    <row r="111" spans="2:32" ht="24" x14ac:dyDescent="0.2">
      <c r="B111" s="90" t="s">
        <v>325</v>
      </c>
      <c r="C111" s="91" t="s">
        <v>326</v>
      </c>
    </row>
    <row r="112" spans="2:32" x14ac:dyDescent="0.2">
      <c r="B112" s="58" t="s">
        <v>286</v>
      </c>
      <c r="C112" s="84">
        <f>AVERAGE(I205:L205)</f>
        <v>44807.48</v>
      </c>
    </row>
    <row r="113" spans="2:4" x14ac:dyDescent="0.2">
      <c r="B113" s="58" t="s">
        <v>287</v>
      </c>
      <c r="C113" s="84">
        <f>AVERAGE(I204:L204)</f>
        <v>174675.03250000003</v>
      </c>
    </row>
    <row r="114" spans="2:4" x14ac:dyDescent="0.2">
      <c r="B114" s="58" t="s">
        <v>288</v>
      </c>
      <c r="C114" s="84">
        <f>AVERAGE(I203:K203)</f>
        <v>26414.483333333334</v>
      </c>
    </row>
    <row r="115" spans="2:4" x14ac:dyDescent="0.2">
      <c r="B115" s="59" t="s">
        <v>250</v>
      </c>
      <c r="C115" s="86">
        <f>SUM(C112:C114)</f>
        <v>245896.99583333338</v>
      </c>
    </row>
    <row r="116" spans="2:4" x14ac:dyDescent="0.2">
      <c r="B116" s="75" t="s">
        <v>324</v>
      </c>
    </row>
    <row r="119" spans="2:4" x14ac:dyDescent="0.2">
      <c r="B119" s="56" t="s">
        <v>294</v>
      </c>
    </row>
    <row r="120" spans="2:4" ht="24" x14ac:dyDescent="0.2">
      <c r="B120" s="90" t="s">
        <v>325</v>
      </c>
      <c r="C120" s="91" t="s">
        <v>327</v>
      </c>
    </row>
    <row r="121" spans="2:4" x14ac:dyDescent="0.2">
      <c r="B121" s="58" t="s">
        <v>289</v>
      </c>
      <c r="C121" s="84">
        <f>C226</f>
        <v>8327.9030769230776</v>
      </c>
    </row>
    <row r="122" spans="2:4" x14ac:dyDescent="0.2">
      <c r="B122" s="58" t="s">
        <v>290</v>
      </c>
      <c r="C122" s="84">
        <f>E226</f>
        <v>5765.8361538461531</v>
      </c>
    </row>
    <row r="123" spans="2:4" x14ac:dyDescent="0.2">
      <c r="B123" s="58" t="s">
        <v>291</v>
      </c>
      <c r="C123" s="84">
        <f>D226</f>
        <v>487.37230769230769</v>
      </c>
    </row>
    <row r="124" spans="2:4" x14ac:dyDescent="0.2">
      <c r="B124" s="58" t="s">
        <v>292</v>
      </c>
      <c r="C124" s="84">
        <f>F226</f>
        <v>1140.4100000000001</v>
      </c>
    </row>
    <row r="125" spans="2:4" x14ac:dyDescent="0.2">
      <c r="B125" s="59" t="s">
        <v>293</v>
      </c>
      <c r="C125" s="86">
        <f>SUM(C121:C124)</f>
        <v>15721.521538461539</v>
      </c>
    </row>
    <row r="126" spans="2:4" x14ac:dyDescent="0.2">
      <c r="B126" s="75" t="s">
        <v>324</v>
      </c>
    </row>
    <row r="128" spans="2:4" x14ac:dyDescent="0.2">
      <c r="B128" s="58"/>
      <c r="C128" s="57">
        <v>2021</v>
      </c>
      <c r="D128" s="57">
        <v>2022</v>
      </c>
    </row>
    <row r="129" spans="2:4" x14ac:dyDescent="0.2">
      <c r="B129" s="58" t="s">
        <v>388</v>
      </c>
      <c r="C129" s="81">
        <v>283995.33</v>
      </c>
      <c r="D129" s="81">
        <v>78779.320000000007</v>
      </c>
    </row>
    <row r="130" spans="2:4" x14ac:dyDescent="0.2">
      <c r="B130" s="75" t="s">
        <v>324</v>
      </c>
    </row>
    <row r="133" spans="2:4" x14ac:dyDescent="0.2">
      <c r="B133" s="58" t="s">
        <v>263</v>
      </c>
      <c r="C133" s="58">
        <v>14</v>
      </c>
      <c r="D133" s="88" t="s">
        <v>235</v>
      </c>
    </row>
    <row r="134" spans="2:4" x14ac:dyDescent="0.2">
      <c r="B134" s="58" t="s">
        <v>382</v>
      </c>
      <c r="C134" s="58">
        <v>8</v>
      </c>
    </row>
    <row r="136" spans="2:4" x14ac:dyDescent="0.2">
      <c r="B136" s="56" t="s">
        <v>262</v>
      </c>
    </row>
    <row r="137" spans="2:4" x14ac:dyDescent="0.2">
      <c r="B137" s="58" t="s">
        <v>258</v>
      </c>
      <c r="C137" s="58">
        <v>1.0387</v>
      </c>
    </row>
    <row r="138" spans="2:4" x14ac:dyDescent="0.2">
      <c r="B138" s="58" t="s">
        <v>259</v>
      </c>
      <c r="C138" s="58">
        <v>0.72670000000000001</v>
      </c>
    </row>
    <row r="139" spans="2:4" x14ac:dyDescent="0.2">
      <c r="B139" s="58" t="s">
        <v>260</v>
      </c>
      <c r="C139" s="58">
        <v>0.99850000000000005</v>
      </c>
    </row>
    <row r="140" spans="2:4" x14ac:dyDescent="0.2">
      <c r="B140" s="75" t="s">
        <v>261</v>
      </c>
    </row>
    <row r="145" spans="2:4" x14ac:dyDescent="0.2">
      <c r="B145" s="57" t="s">
        <v>279</v>
      </c>
      <c r="C145" s="57" t="s">
        <v>228</v>
      </c>
    </row>
    <row r="146" spans="2:4" x14ac:dyDescent="0.2">
      <c r="B146" s="58" t="s">
        <v>274</v>
      </c>
      <c r="C146" s="58">
        <v>14.85</v>
      </c>
      <c r="D146" s="92"/>
    </row>
    <row r="147" spans="2:4" x14ac:dyDescent="0.2">
      <c r="B147" s="58" t="s">
        <v>275</v>
      </c>
      <c r="C147" s="58">
        <v>5</v>
      </c>
    </row>
    <row r="148" spans="2:4" x14ac:dyDescent="0.2">
      <c r="B148" s="58" t="s">
        <v>276</v>
      </c>
      <c r="C148" s="58">
        <v>8.5</v>
      </c>
    </row>
    <row r="149" spans="2:4" x14ac:dyDescent="0.2">
      <c r="B149" s="58" t="s">
        <v>277</v>
      </c>
      <c r="C149" s="58">
        <v>150</v>
      </c>
    </row>
    <row r="150" spans="2:4" x14ac:dyDescent="0.2">
      <c r="B150" s="58" t="s">
        <v>278</v>
      </c>
      <c r="C150" s="58">
        <v>3.9</v>
      </c>
    </row>
    <row r="151" spans="2:4" x14ac:dyDescent="0.2">
      <c r="B151" s="88" t="s">
        <v>385</v>
      </c>
    </row>
    <row r="155" spans="2:4" x14ac:dyDescent="0.2">
      <c r="B155" s="56" t="s">
        <v>280</v>
      </c>
    </row>
    <row r="156" spans="2:4" x14ac:dyDescent="0.2">
      <c r="B156" s="93" t="s">
        <v>397</v>
      </c>
      <c r="C156" s="94">
        <v>88</v>
      </c>
    </row>
    <row r="157" spans="2:4" x14ac:dyDescent="0.2">
      <c r="B157" s="93" t="s">
        <v>398</v>
      </c>
      <c r="C157" s="94">
        <v>68</v>
      </c>
    </row>
    <row r="158" spans="2:4" x14ac:dyDescent="0.2">
      <c r="B158" s="93" t="s">
        <v>281</v>
      </c>
      <c r="C158" s="94">
        <v>14</v>
      </c>
    </row>
    <row r="159" spans="2:4" x14ac:dyDescent="0.2">
      <c r="B159" s="95" t="s">
        <v>8</v>
      </c>
      <c r="C159" s="90">
        <v>170</v>
      </c>
    </row>
    <row r="160" spans="2:4" x14ac:dyDescent="0.2">
      <c r="B160" s="78" t="s">
        <v>399</v>
      </c>
      <c r="C160" s="96">
        <v>45</v>
      </c>
    </row>
    <row r="162" spans="2:11" x14ac:dyDescent="0.2">
      <c r="B162" s="56" t="s">
        <v>400</v>
      </c>
    </row>
    <row r="163" spans="2:11" ht="11.45" customHeight="1" x14ac:dyDescent="0.2">
      <c r="B163" s="97" t="s">
        <v>401</v>
      </c>
      <c r="C163" s="97" t="s">
        <v>402</v>
      </c>
      <c r="D163" s="98" t="s">
        <v>403</v>
      </c>
      <c r="E163" s="98" t="s">
        <v>404</v>
      </c>
      <c r="F163" s="98" t="s">
        <v>405</v>
      </c>
      <c r="G163" s="98" t="s">
        <v>406</v>
      </c>
      <c r="H163" s="97" t="s">
        <v>407</v>
      </c>
      <c r="I163" s="99" t="s">
        <v>408</v>
      </c>
      <c r="J163" s="100"/>
      <c r="K163" s="101"/>
    </row>
    <row r="164" spans="2:11" x14ac:dyDescent="0.2">
      <c r="B164" s="102"/>
      <c r="C164" s="102"/>
      <c r="D164" s="103"/>
      <c r="E164" s="103"/>
      <c r="F164" s="103"/>
      <c r="G164" s="103"/>
      <c r="H164" s="102"/>
      <c r="I164" s="57" t="s">
        <v>409</v>
      </c>
      <c r="J164" s="57" t="s">
        <v>410</v>
      </c>
      <c r="K164" s="57" t="s">
        <v>381</v>
      </c>
    </row>
    <row r="165" spans="2:11" x14ac:dyDescent="0.2">
      <c r="B165" s="104" t="s">
        <v>411</v>
      </c>
      <c r="C165" s="58" t="s">
        <v>412</v>
      </c>
      <c r="D165" s="58">
        <v>500</v>
      </c>
      <c r="E165" s="58">
        <v>4</v>
      </c>
      <c r="F165" s="58">
        <v>125</v>
      </c>
      <c r="G165" s="58"/>
      <c r="H165" s="58">
        <v>0.7</v>
      </c>
      <c r="I165" s="58"/>
      <c r="J165" s="58">
        <v>88</v>
      </c>
      <c r="K165" s="58">
        <v>88</v>
      </c>
    </row>
    <row r="166" spans="2:11" x14ac:dyDescent="0.2">
      <c r="B166" s="105"/>
      <c r="C166" s="58" t="s">
        <v>413</v>
      </c>
      <c r="D166" s="58">
        <v>0</v>
      </c>
      <c r="E166" s="58">
        <v>20</v>
      </c>
      <c r="F166" s="58">
        <v>0</v>
      </c>
      <c r="G166" s="58"/>
      <c r="H166" s="58"/>
      <c r="I166" s="58"/>
      <c r="J166" s="58"/>
      <c r="K166" s="58"/>
    </row>
    <row r="167" spans="2:11" x14ac:dyDescent="0.2">
      <c r="B167" s="58" t="s">
        <v>414</v>
      </c>
      <c r="C167" s="58" t="s">
        <v>415</v>
      </c>
      <c r="D167" s="58"/>
      <c r="E167" s="58">
        <v>25</v>
      </c>
      <c r="F167" s="58">
        <v>0</v>
      </c>
      <c r="G167" s="58">
        <v>4</v>
      </c>
      <c r="H167" s="58">
        <v>0.7</v>
      </c>
      <c r="I167" s="58"/>
      <c r="J167" s="58"/>
      <c r="K167" s="58"/>
    </row>
    <row r="168" spans="2:11" x14ac:dyDescent="0.2">
      <c r="B168" s="59" t="s">
        <v>8</v>
      </c>
      <c r="C168" s="59"/>
      <c r="D168" s="59"/>
      <c r="E168" s="59"/>
      <c r="F168" s="59"/>
      <c r="G168" s="59"/>
      <c r="H168" s="59"/>
      <c r="I168" s="59"/>
      <c r="J168" s="59">
        <f>SUM(J165:J167)</f>
        <v>88</v>
      </c>
      <c r="K168" s="59">
        <f>SUM(K165:K167)</f>
        <v>88</v>
      </c>
    </row>
    <row r="171" spans="2:11" x14ac:dyDescent="0.2">
      <c r="B171" s="56" t="s">
        <v>332</v>
      </c>
    </row>
    <row r="172" spans="2:11" x14ac:dyDescent="0.2">
      <c r="B172" s="58" t="s">
        <v>334</v>
      </c>
      <c r="C172" s="58">
        <v>75</v>
      </c>
    </row>
    <row r="173" spans="2:11" x14ac:dyDescent="0.2">
      <c r="B173" s="58" t="s">
        <v>333</v>
      </c>
      <c r="C173" s="81">
        <f>C52</f>
        <v>4799</v>
      </c>
    </row>
    <row r="174" spans="2:11" x14ac:dyDescent="0.2">
      <c r="B174" s="58" t="s">
        <v>335</v>
      </c>
      <c r="C174" s="58">
        <f>C173*1.5*360*24/1000000</f>
        <v>62.195039999999999</v>
      </c>
    </row>
    <row r="176" spans="2:11" x14ac:dyDescent="0.2">
      <c r="B176" s="56" t="s">
        <v>341</v>
      </c>
    </row>
    <row r="177" spans="2:5" x14ac:dyDescent="0.2">
      <c r="B177" s="58" t="s">
        <v>335</v>
      </c>
      <c r="C177" s="58">
        <v>88.75</v>
      </c>
    </row>
    <row r="182" spans="2:5" x14ac:dyDescent="0.2">
      <c r="B182" s="56" t="s">
        <v>264</v>
      </c>
    </row>
    <row r="183" spans="2:5" ht="48.6" customHeight="1" x14ac:dyDescent="0.2">
      <c r="B183" s="106" t="s">
        <v>265</v>
      </c>
      <c r="C183" s="107" t="s">
        <v>295</v>
      </c>
      <c r="D183" s="107"/>
      <c r="E183" s="108" t="s">
        <v>215</v>
      </c>
    </row>
    <row r="184" spans="2:5" x14ac:dyDescent="0.2">
      <c r="B184" s="58" t="s">
        <v>266</v>
      </c>
      <c r="C184" s="58"/>
      <c r="D184" s="58">
        <v>61</v>
      </c>
      <c r="E184" s="109">
        <v>60</v>
      </c>
    </row>
    <row r="185" spans="2:5" x14ac:dyDescent="0.2">
      <c r="B185" s="58" t="s">
        <v>267</v>
      </c>
      <c r="C185" s="58">
        <v>62</v>
      </c>
      <c r="D185" s="58">
        <v>122</v>
      </c>
      <c r="E185" s="109">
        <f>AVERAGE(C185:D185)</f>
        <v>92</v>
      </c>
    </row>
    <row r="186" spans="2:5" x14ac:dyDescent="0.2">
      <c r="B186" s="58" t="s">
        <v>268</v>
      </c>
      <c r="C186" s="58">
        <v>123</v>
      </c>
      <c r="D186" s="58">
        <v>244</v>
      </c>
      <c r="E186" s="109">
        <f>AVERAGE(C186:D186)</f>
        <v>183.5</v>
      </c>
    </row>
    <row r="187" spans="2:5" x14ac:dyDescent="0.2">
      <c r="B187" s="58" t="s">
        <v>269</v>
      </c>
      <c r="C187" s="58">
        <v>245</v>
      </c>
      <c r="D187" s="58">
        <v>366</v>
      </c>
    </row>
    <row r="188" spans="2:5" x14ac:dyDescent="0.2">
      <c r="B188" s="58" t="s">
        <v>270</v>
      </c>
      <c r="C188" s="58">
        <v>367</v>
      </c>
      <c r="D188" s="58">
        <v>488</v>
      </c>
    </row>
    <row r="189" spans="2:5" x14ac:dyDescent="0.2">
      <c r="B189" s="58" t="s">
        <v>271</v>
      </c>
      <c r="C189" s="58">
        <v>489</v>
      </c>
      <c r="D189" s="58">
        <v>610</v>
      </c>
    </row>
    <row r="190" spans="2:5" x14ac:dyDescent="0.2">
      <c r="B190" s="58" t="s">
        <v>272</v>
      </c>
      <c r="C190" s="58">
        <v>611</v>
      </c>
      <c r="D190" s="58">
        <v>732</v>
      </c>
    </row>
    <row r="191" spans="2:5" x14ac:dyDescent="0.2">
      <c r="B191" s="58" t="s">
        <v>273</v>
      </c>
      <c r="C191" s="58">
        <v>732</v>
      </c>
      <c r="D191" s="58"/>
    </row>
    <row r="192" spans="2:5" x14ac:dyDescent="0.2">
      <c r="B192" s="75" t="s">
        <v>296</v>
      </c>
    </row>
    <row r="195" spans="2:12" x14ac:dyDescent="0.2">
      <c r="B195" s="58" t="s">
        <v>300</v>
      </c>
      <c r="C195" s="58">
        <v>59.124000000000002</v>
      </c>
    </row>
    <row r="196" spans="2:12" x14ac:dyDescent="0.2">
      <c r="B196" s="58" t="s">
        <v>301</v>
      </c>
      <c r="C196" s="58">
        <v>152.20099999999999</v>
      </c>
    </row>
    <row r="201" spans="2:12" x14ac:dyDescent="0.2">
      <c r="B201" s="56" t="s">
        <v>331</v>
      </c>
    </row>
    <row r="202" spans="2:12" ht="24" x14ac:dyDescent="0.2">
      <c r="B202" s="110" t="s">
        <v>323</v>
      </c>
      <c r="C202" s="111" t="s">
        <v>314</v>
      </c>
      <c r="D202" s="111" t="s">
        <v>315</v>
      </c>
      <c r="E202" s="111" t="s">
        <v>316</v>
      </c>
      <c r="F202" s="111" t="s">
        <v>317</v>
      </c>
      <c r="G202" s="111" t="s">
        <v>318</v>
      </c>
      <c r="H202" s="111" t="s">
        <v>319</v>
      </c>
      <c r="I202" s="111" t="s">
        <v>320</v>
      </c>
      <c r="J202" s="111" t="s">
        <v>299</v>
      </c>
      <c r="K202" s="111" t="s">
        <v>321</v>
      </c>
      <c r="L202" s="111" t="s">
        <v>367</v>
      </c>
    </row>
    <row r="203" spans="2:12" x14ac:dyDescent="0.2">
      <c r="B203" s="110" t="s">
        <v>322</v>
      </c>
      <c r="C203" s="112">
        <v>8329.44</v>
      </c>
      <c r="D203" s="112">
        <v>8532.5</v>
      </c>
      <c r="E203" s="112">
        <v>8362.5399999999991</v>
      </c>
      <c r="F203" s="112">
        <v>9535.6699999999983</v>
      </c>
      <c r="G203" s="112">
        <v>13642.999999999998</v>
      </c>
      <c r="H203" s="112">
        <v>15219.820000000003</v>
      </c>
      <c r="I203" s="112">
        <v>28485.78</v>
      </c>
      <c r="J203" s="112">
        <v>24349.21</v>
      </c>
      <c r="K203" s="112">
        <v>26408.46</v>
      </c>
      <c r="L203" s="112" t="s">
        <v>368</v>
      </c>
    </row>
    <row r="204" spans="2:12" x14ac:dyDescent="0.2">
      <c r="B204" s="112" t="s">
        <v>365</v>
      </c>
      <c r="C204" s="112"/>
      <c r="D204" s="112"/>
      <c r="E204" s="112"/>
      <c r="F204" s="112"/>
      <c r="G204" s="112"/>
      <c r="H204" s="112"/>
      <c r="I204" s="113">
        <v>163052.54</v>
      </c>
      <c r="J204" s="113">
        <f>163052.54+10622.85+35867.12</f>
        <v>209542.51</v>
      </c>
      <c r="K204" s="113">
        <v>163052.54</v>
      </c>
      <c r="L204" s="113">
        <v>163052.54</v>
      </c>
    </row>
    <row r="205" spans="2:12" x14ac:dyDescent="0.2">
      <c r="B205" s="112" t="s">
        <v>366</v>
      </c>
      <c r="C205" s="113"/>
      <c r="D205" s="113"/>
      <c r="E205" s="113"/>
      <c r="F205" s="113"/>
      <c r="G205" s="113"/>
      <c r="H205" s="113"/>
      <c r="I205" s="113">
        <v>44807.48</v>
      </c>
      <c r="J205" s="113">
        <v>44807.48</v>
      </c>
      <c r="K205" s="113">
        <v>44807.48</v>
      </c>
      <c r="L205" s="113">
        <v>44807.48</v>
      </c>
    </row>
    <row r="206" spans="2:12" x14ac:dyDescent="0.2">
      <c r="B206" s="75" t="s">
        <v>324</v>
      </c>
    </row>
    <row r="211" spans="2:6" x14ac:dyDescent="0.2">
      <c r="B211" s="114" t="s">
        <v>345</v>
      </c>
    </row>
    <row r="212" spans="2:6" ht="17.100000000000001" customHeight="1" x14ac:dyDescent="0.2">
      <c r="B212" s="115" t="s">
        <v>346</v>
      </c>
      <c r="C212" s="115" t="s">
        <v>347</v>
      </c>
      <c r="D212" s="115" t="s">
        <v>348</v>
      </c>
      <c r="E212" s="115" t="s">
        <v>349</v>
      </c>
      <c r="F212" s="115" t="s">
        <v>350</v>
      </c>
    </row>
    <row r="213" spans="2:6" x14ac:dyDescent="0.2">
      <c r="B213" s="116" t="s">
        <v>351</v>
      </c>
      <c r="C213" s="117">
        <v>4638.8500000000004</v>
      </c>
      <c r="D213" s="117">
        <v>45.73</v>
      </c>
      <c r="E213" s="117">
        <v>396.6</v>
      </c>
      <c r="F213" s="118">
        <v>943.47</v>
      </c>
    </row>
    <row r="214" spans="2:6" x14ac:dyDescent="0.2">
      <c r="B214" s="116" t="s">
        <v>352</v>
      </c>
      <c r="C214" s="117">
        <v>4357.13</v>
      </c>
      <c r="D214" s="117">
        <v>95.61</v>
      </c>
      <c r="E214" s="117">
        <v>1338.69</v>
      </c>
      <c r="F214" s="118">
        <v>943.47</v>
      </c>
    </row>
    <row r="215" spans="2:6" x14ac:dyDescent="0.2">
      <c r="B215" s="116" t="s">
        <v>353</v>
      </c>
      <c r="C215" s="117">
        <v>6220.76</v>
      </c>
      <c r="D215" s="117">
        <v>119.67</v>
      </c>
      <c r="E215" s="117">
        <v>4938.72</v>
      </c>
      <c r="F215" s="118">
        <v>943.47</v>
      </c>
    </row>
    <row r="216" spans="2:6" x14ac:dyDescent="0.2">
      <c r="B216" s="116" t="s">
        <v>354</v>
      </c>
      <c r="C216" s="117">
        <v>7564.65</v>
      </c>
      <c r="D216" s="117">
        <v>934.96</v>
      </c>
      <c r="E216" s="117">
        <v>8454</v>
      </c>
      <c r="F216" s="118">
        <v>943.47</v>
      </c>
    </row>
    <row r="217" spans="2:6" x14ac:dyDescent="0.2">
      <c r="B217" s="116" t="s">
        <v>355</v>
      </c>
      <c r="C217" s="117">
        <v>7595.09</v>
      </c>
      <c r="D217" s="117">
        <v>189.2</v>
      </c>
      <c r="E217" s="117">
        <v>3759.86</v>
      </c>
      <c r="F217" s="118">
        <v>943.47</v>
      </c>
    </row>
    <row r="218" spans="2:6" x14ac:dyDescent="0.2">
      <c r="B218" s="116" t="s">
        <v>356</v>
      </c>
      <c r="C218" s="117">
        <v>9815.08</v>
      </c>
      <c r="D218" s="117">
        <v>248.17</v>
      </c>
      <c r="E218" s="117">
        <v>7184.9</v>
      </c>
      <c r="F218" s="118">
        <v>943.47</v>
      </c>
    </row>
    <row r="219" spans="2:6" x14ac:dyDescent="0.2">
      <c r="B219" s="116" t="s">
        <v>357</v>
      </c>
      <c r="C219" s="117">
        <v>8830.23</v>
      </c>
      <c r="D219" s="117">
        <v>270.99</v>
      </c>
      <c r="E219" s="117">
        <v>5786.33</v>
      </c>
      <c r="F219" s="118">
        <v>943.47</v>
      </c>
    </row>
    <row r="220" spans="2:6" x14ac:dyDescent="0.2">
      <c r="B220" s="116" t="s">
        <v>358</v>
      </c>
      <c r="C220" s="117">
        <v>10529.51</v>
      </c>
      <c r="D220" s="117">
        <v>468.61</v>
      </c>
      <c r="E220" s="117">
        <v>11131.1</v>
      </c>
      <c r="F220" s="118">
        <v>943.47</v>
      </c>
    </row>
    <row r="221" spans="2:6" x14ac:dyDescent="0.2">
      <c r="B221" s="116" t="s">
        <v>359</v>
      </c>
      <c r="C221" s="117">
        <v>9326.36</v>
      </c>
      <c r="D221" s="117">
        <v>355.74</v>
      </c>
      <c r="E221" s="117">
        <v>1559.53</v>
      </c>
      <c r="F221" s="118">
        <v>943.47</v>
      </c>
    </row>
    <row r="222" spans="2:6" x14ac:dyDescent="0.2">
      <c r="B222" s="116" t="s">
        <v>360</v>
      </c>
      <c r="C222" s="117">
        <v>8043.74</v>
      </c>
      <c r="D222" s="117">
        <v>313.58999999999997</v>
      </c>
      <c r="E222" s="117">
        <v>4066.83</v>
      </c>
      <c r="F222" s="118">
        <v>943.47</v>
      </c>
    </row>
    <row r="223" spans="2:6" x14ac:dyDescent="0.2">
      <c r="B223" s="116" t="s">
        <v>361</v>
      </c>
      <c r="C223" s="117">
        <v>7590</v>
      </c>
      <c r="D223" s="117">
        <v>2464.17</v>
      </c>
      <c r="E223" s="117">
        <v>4343.24</v>
      </c>
      <c r="F223" s="118">
        <v>1140.4100000000001</v>
      </c>
    </row>
    <row r="224" spans="2:6" x14ac:dyDescent="0.2">
      <c r="B224" s="116" t="s">
        <v>362</v>
      </c>
      <c r="C224" s="117">
        <v>8619.5499999999993</v>
      </c>
      <c r="D224" s="117">
        <v>452.63</v>
      </c>
      <c r="E224" s="117">
        <v>5210.41</v>
      </c>
      <c r="F224" s="118">
        <v>1140.4100000000001</v>
      </c>
    </row>
    <row r="225" spans="2:6" x14ac:dyDescent="0.2">
      <c r="B225" s="116" t="s">
        <v>363</v>
      </c>
      <c r="C225" s="117">
        <v>15131.79</v>
      </c>
      <c r="D225" s="117">
        <v>376.77</v>
      </c>
      <c r="E225" s="117">
        <v>16785.66</v>
      </c>
      <c r="F225" s="118">
        <v>1140.4100000000001</v>
      </c>
    </row>
    <row r="226" spans="2:6" ht="17.45" customHeight="1" x14ac:dyDescent="0.2">
      <c r="B226" s="119" t="s">
        <v>364</v>
      </c>
      <c r="C226" s="120">
        <f>AVERAGE(C213:C225)</f>
        <v>8327.9030769230776</v>
      </c>
      <c r="D226" s="120">
        <f t="shared" ref="D226:E226" si="12">AVERAGE(D213:D225)</f>
        <v>487.37230769230769</v>
      </c>
      <c r="E226" s="120">
        <f t="shared" si="12"/>
        <v>5765.8361538461531</v>
      </c>
      <c r="F226" s="120">
        <f>AVERAGE(F223:F225)</f>
        <v>1140.4100000000001</v>
      </c>
    </row>
    <row r="227" spans="2:6" x14ac:dyDescent="0.2">
      <c r="B227" s="75" t="s">
        <v>324</v>
      </c>
    </row>
  </sheetData>
  <sheetProtection algorithmName="SHA-512" hashValue="z/hTz4wPYefzBZKXOY9W0kpQ9Z4jxnKvScrFc5qeDLl72XP6g9vqvDtsnnFIxRVJ/zlQaU2mfJihZ5itK0ZjOQ==" saltValue="wbi1G/9964pb4AFBcA3Mcg==" spinCount="100000" sheet="1" objects="1" scenarios="1" selectLockedCells="1"/>
  <mergeCells count="13">
    <mergeCell ref="I163:K163"/>
    <mergeCell ref="B165:B166"/>
    <mergeCell ref="C183:D183"/>
    <mergeCell ref="B16:F16"/>
    <mergeCell ref="C32:H32"/>
    <mergeCell ref="C33:H33"/>
    <mergeCell ref="B163:B164"/>
    <mergeCell ref="C163:C164"/>
    <mergeCell ref="D163:D164"/>
    <mergeCell ref="E163:E164"/>
    <mergeCell ref="F163:F164"/>
    <mergeCell ref="G163:G164"/>
    <mergeCell ref="H163:H164"/>
  </mergeCells>
  <hyperlinks>
    <hyperlink ref="D133" r:id="rId1"/>
    <hyperlink ref="B151" r:id="rId2" display="https://www.crz.gov.sk/zmluva/5335625/"/>
    <hyperlink ref="B97" r:id="rId3" display="https://www.crz.gov.sk/zmluva/5335625/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135"/>
  <sheetViews>
    <sheetView zoomScaleNormal="100" workbookViewId="0">
      <selection activeCell="O44" sqref="O44"/>
    </sheetView>
  </sheetViews>
  <sheetFormatPr defaultColWidth="9.140625" defaultRowHeight="11.25" x14ac:dyDescent="0.2"/>
  <cols>
    <col min="1" max="1" width="2.7109375" style="1" customWidth="1"/>
    <col min="2" max="2" width="56.7109375" style="1" customWidth="1"/>
    <col min="3" max="3" width="13.7109375" style="1" customWidth="1"/>
    <col min="4" max="5" width="10.85546875" style="1" customWidth="1"/>
    <col min="6" max="6" width="11.7109375" style="1" customWidth="1"/>
    <col min="7" max="7" width="10.85546875" style="1" customWidth="1"/>
    <col min="8" max="8" width="11.5703125" style="1" customWidth="1"/>
    <col min="9" max="9" width="13.28515625" style="1" customWidth="1"/>
    <col min="10" max="10" width="6.140625" style="1" bestFit="1" customWidth="1"/>
    <col min="11" max="11" width="5.5703125" style="1" bestFit="1" customWidth="1"/>
    <col min="12" max="16384" width="9.140625" style="1"/>
  </cols>
  <sheetData>
    <row r="2" spans="1:11" ht="12.75" x14ac:dyDescent="0.2">
      <c r="A2" s="121" t="s">
        <v>386</v>
      </c>
      <c r="B2" s="121"/>
    </row>
    <row r="4" spans="1:11" ht="12.75" x14ac:dyDescent="0.2">
      <c r="C4" s="122" t="s">
        <v>282</v>
      </c>
      <c r="D4" s="123" t="s">
        <v>283</v>
      </c>
      <c r="E4" s="123"/>
      <c r="G4" s="25"/>
    </row>
    <row r="5" spans="1:11" ht="12.75" x14ac:dyDescent="0.2">
      <c r="B5" s="124"/>
      <c r="C5" s="122" t="s">
        <v>284</v>
      </c>
      <c r="D5" s="123" t="s">
        <v>329</v>
      </c>
      <c r="E5" s="123"/>
      <c r="F5" s="125"/>
      <c r="G5" s="126"/>
      <c r="H5" s="125"/>
      <c r="I5" s="125"/>
      <c r="J5" s="125"/>
      <c r="K5" s="125"/>
    </row>
    <row r="6" spans="1:11" ht="12.75" x14ac:dyDescent="0.2">
      <c r="B6" s="124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12.75" x14ac:dyDescent="0.2">
      <c r="B7" s="127" t="s">
        <v>204</v>
      </c>
      <c r="C7" s="128"/>
      <c r="D7" s="129">
        <v>0</v>
      </c>
      <c r="E7" s="129">
        <v>1</v>
      </c>
      <c r="F7" s="129">
        <v>2</v>
      </c>
      <c r="G7" s="129">
        <v>3</v>
      </c>
      <c r="H7" s="129">
        <v>4</v>
      </c>
      <c r="I7" s="129">
        <v>5</v>
      </c>
      <c r="J7" s="130">
        <v>6</v>
      </c>
    </row>
    <row r="8" spans="1:11" ht="12.75" x14ac:dyDescent="0.2">
      <c r="B8" s="125"/>
      <c r="C8" s="128" t="s">
        <v>185</v>
      </c>
      <c r="D8" s="131" t="s">
        <v>189</v>
      </c>
      <c r="E8" s="132">
        <v>2022</v>
      </c>
      <c r="F8" s="132">
        <f>2022+E7</f>
        <v>2023</v>
      </c>
      <c r="G8" s="132">
        <f t="shared" ref="G8:I8" si="0">2022+F7</f>
        <v>2024</v>
      </c>
      <c r="H8" s="132">
        <f t="shared" si="0"/>
        <v>2025</v>
      </c>
      <c r="I8" s="132">
        <f t="shared" si="0"/>
        <v>2026</v>
      </c>
      <c r="J8" s="132" t="s">
        <v>39</v>
      </c>
    </row>
    <row r="9" spans="1:11" ht="12.75" x14ac:dyDescent="0.2">
      <c r="B9" s="133" t="s">
        <v>186</v>
      </c>
      <c r="C9" s="134">
        <f>SUM(D9:J9)</f>
        <v>24</v>
      </c>
      <c r="D9" s="135">
        <v>0</v>
      </c>
      <c r="E9" s="135"/>
      <c r="F9" s="135">
        <v>12</v>
      </c>
      <c r="G9" s="135">
        <v>12</v>
      </c>
      <c r="H9" s="135">
        <v>0</v>
      </c>
      <c r="I9" s="135">
        <v>0</v>
      </c>
      <c r="J9" s="135">
        <v>0</v>
      </c>
    </row>
    <row r="10" spans="1:11" ht="12.75" x14ac:dyDescent="0.2">
      <c r="B10" s="136" t="s">
        <v>207</v>
      </c>
      <c r="C10" s="137">
        <f>SUM(D10:J10)</f>
        <v>12</v>
      </c>
      <c r="D10" s="138"/>
      <c r="E10" s="138"/>
      <c r="F10" s="138">
        <v>12</v>
      </c>
      <c r="G10" s="139"/>
      <c r="H10" s="138"/>
      <c r="I10" s="138"/>
      <c r="J10" s="138"/>
    </row>
    <row r="11" spans="1:11" ht="12.75" x14ac:dyDescent="0.2">
      <c r="B11" s="136" t="s">
        <v>208</v>
      </c>
      <c r="C11" s="137">
        <f>SUM(D11:J11)</f>
        <v>36</v>
      </c>
      <c r="D11" s="138"/>
      <c r="E11" s="138"/>
      <c r="F11" s="139"/>
      <c r="G11" s="138">
        <v>12</v>
      </c>
      <c r="H11" s="138">
        <v>12</v>
      </c>
      <c r="I11" s="138">
        <v>12</v>
      </c>
      <c r="J11" s="138"/>
    </row>
    <row r="12" spans="1:11" ht="12.75" x14ac:dyDescent="0.2">
      <c r="B12" s="140"/>
      <c r="C12" s="140"/>
      <c r="D12" s="141"/>
      <c r="E12" s="141"/>
      <c r="F12" s="142"/>
      <c r="G12" s="142"/>
      <c r="H12" s="141"/>
      <c r="I12" s="141"/>
      <c r="J12" s="141"/>
    </row>
    <row r="14" spans="1:11" x14ac:dyDescent="0.2">
      <c r="B14" s="17" t="s">
        <v>113</v>
      </c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">
      <c r="B15" s="143"/>
      <c r="C15" s="143"/>
      <c r="D15" s="129">
        <v>0</v>
      </c>
      <c r="E15" s="129">
        <v>1</v>
      </c>
      <c r="F15" s="129">
        <v>2</v>
      </c>
      <c r="G15" s="129">
        <v>3</v>
      </c>
      <c r="H15" s="129">
        <v>4</v>
      </c>
      <c r="I15" s="129">
        <v>5</v>
      </c>
      <c r="J15" s="129"/>
      <c r="K15" s="129">
        <v>30</v>
      </c>
    </row>
    <row r="16" spans="1:11" x14ac:dyDescent="0.2">
      <c r="B16" s="144" t="s">
        <v>187</v>
      </c>
      <c r="C16" s="144" t="s">
        <v>8</v>
      </c>
      <c r="D16" s="131" t="s">
        <v>189</v>
      </c>
      <c r="E16" s="132">
        <f>Parametre!C13</f>
        <v>2022</v>
      </c>
      <c r="F16" s="132">
        <f>$E$16+E15</f>
        <v>2023</v>
      </c>
      <c r="G16" s="132">
        <f t="shared" ref="G16:I16" si="1">$E$16+F15</f>
        <v>2024</v>
      </c>
      <c r="H16" s="132">
        <f t="shared" si="1"/>
        <v>2025</v>
      </c>
      <c r="I16" s="132">
        <f t="shared" si="1"/>
        <v>2026</v>
      </c>
      <c r="J16" s="132" t="s">
        <v>39</v>
      </c>
      <c r="K16" s="132">
        <v>2051</v>
      </c>
    </row>
    <row r="17" spans="2:11" x14ac:dyDescent="0.2">
      <c r="B17" s="17" t="s">
        <v>35</v>
      </c>
      <c r="C17" s="145">
        <f>SUM(D17:K17)</f>
        <v>0</v>
      </c>
      <c r="D17" s="146"/>
      <c r="E17" s="147"/>
      <c r="F17" s="147"/>
      <c r="G17" s="147"/>
      <c r="H17" s="147"/>
      <c r="I17" s="147"/>
      <c r="J17" s="147"/>
      <c r="K17" s="147"/>
    </row>
    <row r="18" spans="2:11" x14ac:dyDescent="0.2">
      <c r="B18" s="17" t="s">
        <v>18</v>
      </c>
      <c r="C18" s="145">
        <f t="shared" ref="C18:C46" si="2">SUM(D18:K18)</f>
        <v>0</v>
      </c>
      <c r="D18" s="147"/>
      <c r="E18" s="147"/>
      <c r="F18" s="147"/>
      <c r="G18" s="147"/>
      <c r="H18" s="147"/>
      <c r="I18" s="147"/>
      <c r="J18" s="147"/>
      <c r="K18" s="147"/>
    </row>
    <row r="19" spans="2:11" x14ac:dyDescent="0.2">
      <c r="B19" s="17" t="s">
        <v>31</v>
      </c>
      <c r="C19" s="145">
        <f t="shared" si="2"/>
        <v>0</v>
      </c>
      <c r="D19" s="147"/>
      <c r="E19" s="147"/>
      <c r="F19" s="147"/>
      <c r="G19" s="147"/>
      <c r="H19" s="147"/>
      <c r="I19" s="147"/>
      <c r="J19" s="147"/>
      <c r="K19" s="147"/>
    </row>
    <row r="20" spans="2:11" x14ac:dyDescent="0.2">
      <c r="B20" s="17" t="s">
        <v>41</v>
      </c>
      <c r="C20" s="145">
        <f>SUM(D20:K20)</f>
        <v>0</v>
      </c>
      <c r="D20" s="148">
        <f t="shared" ref="D20:K20" si="3">SUM(D21:D37)</f>
        <v>0</v>
      </c>
      <c r="E20" s="148">
        <f t="shared" si="3"/>
        <v>0</v>
      </c>
      <c r="F20" s="148">
        <f t="shared" si="3"/>
        <v>0</v>
      </c>
      <c r="G20" s="148">
        <f t="shared" si="3"/>
        <v>0</v>
      </c>
      <c r="H20" s="148">
        <f t="shared" si="3"/>
        <v>0</v>
      </c>
      <c r="I20" s="148">
        <f t="shared" si="3"/>
        <v>0</v>
      </c>
      <c r="J20" s="148">
        <f t="shared" si="3"/>
        <v>0</v>
      </c>
      <c r="K20" s="148">
        <f t="shared" si="3"/>
        <v>0</v>
      </c>
    </row>
    <row r="21" spans="2:11" x14ac:dyDescent="0.2">
      <c r="B21" s="149" t="s">
        <v>134</v>
      </c>
      <c r="C21" s="145">
        <f t="shared" ref="C21:C23" si="4">SUM(D21:K21)</f>
        <v>0</v>
      </c>
      <c r="D21" s="150"/>
      <c r="E21" s="150"/>
      <c r="F21" s="150"/>
      <c r="G21" s="150"/>
      <c r="H21" s="150"/>
      <c r="I21" s="150"/>
      <c r="J21" s="150"/>
      <c r="K21" s="150"/>
    </row>
    <row r="22" spans="2:11" x14ac:dyDescent="0.2">
      <c r="B22" s="149" t="s">
        <v>181</v>
      </c>
      <c r="C22" s="145">
        <f t="shared" si="4"/>
        <v>0</v>
      </c>
      <c r="D22" s="150"/>
      <c r="E22" s="150"/>
      <c r="F22" s="150"/>
      <c r="G22" s="150"/>
      <c r="H22" s="150"/>
      <c r="I22" s="150"/>
      <c r="J22" s="150"/>
      <c r="K22" s="150"/>
    </row>
    <row r="23" spans="2:11" x14ac:dyDescent="0.2">
      <c r="B23" s="149" t="s">
        <v>16</v>
      </c>
      <c r="C23" s="145">
        <f t="shared" si="4"/>
        <v>0</v>
      </c>
      <c r="D23" s="150"/>
      <c r="E23" s="150"/>
      <c r="F23" s="150"/>
      <c r="G23" s="150"/>
      <c r="H23" s="150"/>
      <c r="I23" s="150"/>
      <c r="J23" s="150"/>
      <c r="K23" s="150"/>
    </row>
    <row r="24" spans="2:11" x14ac:dyDescent="0.2">
      <c r="B24" s="149" t="s">
        <v>23</v>
      </c>
      <c r="C24" s="145">
        <f>SUM(D24:K24)</f>
        <v>0</v>
      </c>
      <c r="D24" s="150"/>
      <c r="E24" s="150"/>
      <c r="F24" s="150"/>
      <c r="G24" s="150"/>
      <c r="H24" s="150"/>
      <c r="I24" s="150"/>
      <c r="J24" s="150"/>
      <c r="K24" s="150"/>
    </row>
    <row r="25" spans="2:11" x14ac:dyDescent="0.2">
      <c r="B25" s="149" t="s">
        <v>136</v>
      </c>
      <c r="C25" s="145">
        <f t="shared" ref="C25:C37" si="5">SUM(D25:K25)</f>
        <v>0</v>
      </c>
      <c r="D25" s="150"/>
      <c r="E25" s="150"/>
      <c r="F25" s="150"/>
      <c r="G25" s="150"/>
      <c r="H25" s="150"/>
      <c r="I25" s="150"/>
      <c r="J25" s="150"/>
      <c r="K25" s="150"/>
    </row>
    <row r="26" spans="2:11" x14ac:dyDescent="0.2">
      <c r="B26" s="149" t="s">
        <v>137</v>
      </c>
      <c r="C26" s="145">
        <f t="shared" si="5"/>
        <v>0</v>
      </c>
      <c r="D26" s="150"/>
      <c r="E26" s="150"/>
      <c r="F26" s="150"/>
      <c r="G26" s="150"/>
      <c r="H26" s="150"/>
      <c r="I26" s="150"/>
      <c r="J26" s="150"/>
      <c r="K26" s="150"/>
    </row>
    <row r="27" spans="2:11" x14ac:dyDescent="0.2">
      <c r="B27" s="149" t="s">
        <v>138</v>
      </c>
      <c r="C27" s="145">
        <f t="shared" si="5"/>
        <v>0</v>
      </c>
      <c r="D27" s="150"/>
      <c r="E27" s="150"/>
      <c r="F27" s="150"/>
      <c r="G27" s="150"/>
      <c r="H27" s="150"/>
      <c r="I27" s="150"/>
      <c r="J27" s="150"/>
      <c r="K27" s="150"/>
    </row>
    <row r="28" spans="2:11" x14ac:dyDescent="0.2">
      <c r="B28" s="149" t="s">
        <v>139</v>
      </c>
      <c r="C28" s="145">
        <f t="shared" si="5"/>
        <v>0</v>
      </c>
      <c r="D28" s="150"/>
      <c r="E28" s="150"/>
      <c r="F28" s="150"/>
      <c r="G28" s="150"/>
      <c r="H28" s="150"/>
      <c r="I28" s="150"/>
      <c r="J28" s="150"/>
      <c r="K28" s="150"/>
    </row>
    <row r="29" spans="2:11" x14ac:dyDescent="0.2">
      <c r="B29" s="149" t="s">
        <v>140</v>
      </c>
      <c r="C29" s="145">
        <f t="shared" si="5"/>
        <v>0</v>
      </c>
      <c r="D29" s="150"/>
      <c r="E29" s="150"/>
      <c r="F29" s="150"/>
      <c r="G29" s="150"/>
      <c r="H29" s="150"/>
      <c r="I29" s="150"/>
      <c r="J29" s="150"/>
      <c r="K29" s="150"/>
    </row>
    <row r="30" spans="2:11" x14ac:dyDescent="0.2">
      <c r="B30" s="149" t="s">
        <v>141</v>
      </c>
      <c r="C30" s="145">
        <f t="shared" si="5"/>
        <v>0</v>
      </c>
      <c r="D30" s="150"/>
      <c r="E30" s="150"/>
      <c r="F30" s="150"/>
      <c r="G30" s="150"/>
      <c r="H30" s="150"/>
      <c r="I30" s="150"/>
      <c r="J30" s="150"/>
      <c r="K30" s="150"/>
    </row>
    <row r="31" spans="2:11" x14ac:dyDescent="0.2">
      <c r="B31" s="149" t="s">
        <v>142</v>
      </c>
      <c r="C31" s="145">
        <f t="shared" si="5"/>
        <v>0</v>
      </c>
      <c r="D31" s="150"/>
      <c r="E31" s="150"/>
      <c r="F31" s="150"/>
      <c r="G31" s="150"/>
      <c r="H31" s="150"/>
      <c r="I31" s="150"/>
      <c r="J31" s="150"/>
      <c r="K31" s="150"/>
    </row>
    <row r="32" spans="2:11" x14ac:dyDescent="0.2">
      <c r="B32" s="149" t="s">
        <v>143</v>
      </c>
      <c r="C32" s="145">
        <f t="shared" si="5"/>
        <v>0</v>
      </c>
      <c r="D32" s="150"/>
      <c r="E32" s="150"/>
      <c r="F32" s="150"/>
      <c r="G32" s="150"/>
      <c r="H32" s="150"/>
      <c r="I32" s="150"/>
      <c r="J32" s="150"/>
      <c r="K32" s="150"/>
    </row>
    <row r="33" spans="1:15" x14ac:dyDescent="0.2">
      <c r="B33" s="149" t="s">
        <v>144</v>
      </c>
      <c r="C33" s="145">
        <f t="shared" si="5"/>
        <v>0</v>
      </c>
      <c r="D33" s="150"/>
      <c r="E33" s="150"/>
      <c r="F33" s="151"/>
      <c r="G33" s="150"/>
      <c r="H33" s="150"/>
      <c r="I33" s="150"/>
      <c r="J33" s="150"/>
      <c r="K33" s="150"/>
    </row>
    <row r="34" spans="1:15" x14ac:dyDescent="0.2">
      <c r="B34" s="149" t="s">
        <v>145</v>
      </c>
      <c r="C34" s="145">
        <f t="shared" si="5"/>
        <v>0</v>
      </c>
      <c r="D34" s="150"/>
      <c r="E34" s="150"/>
      <c r="F34" s="150"/>
      <c r="G34" s="150"/>
      <c r="H34" s="150"/>
      <c r="I34" s="150"/>
      <c r="J34" s="150"/>
      <c r="K34" s="150"/>
    </row>
    <row r="35" spans="1:15" x14ac:dyDescent="0.2">
      <c r="B35" s="149" t="s">
        <v>146</v>
      </c>
      <c r="C35" s="145">
        <f t="shared" si="5"/>
        <v>0</v>
      </c>
      <c r="D35" s="150"/>
      <c r="E35" s="150"/>
      <c r="F35" s="150"/>
      <c r="G35" s="150"/>
      <c r="H35" s="150"/>
      <c r="I35" s="150"/>
      <c r="J35" s="150"/>
      <c r="K35" s="150"/>
    </row>
    <row r="36" spans="1:15" x14ac:dyDescent="0.2">
      <c r="B36" s="149" t="s">
        <v>28</v>
      </c>
      <c r="C36" s="145">
        <f t="shared" si="5"/>
        <v>0</v>
      </c>
      <c r="D36" s="150"/>
      <c r="E36" s="150"/>
      <c r="F36" s="150"/>
      <c r="G36" s="150"/>
      <c r="H36" s="150"/>
      <c r="I36" s="150"/>
      <c r="J36" s="150"/>
      <c r="K36" s="150"/>
      <c r="M36" s="152" t="s">
        <v>182</v>
      </c>
    </row>
    <row r="37" spans="1:15" x14ac:dyDescent="0.2">
      <c r="B37" s="149" t="s">
        <v>42</v>
      </c>
      <c r="C37" s="145">
        <f t="shared" si="5"/>
        <v>0</v>
      </c>
      <c r="D37" s="150"/>
      <c r="E37" s="150"/>
      <c r="F37" s="150"/>
      <c r="G37" s="150"/>
      <c r="H37" s="150"/>
      <c r="I37" s="150"/>
      <c r="J37" s="150"/>
      <c r="K37" s="150"/>
      <c r="M37" s="152"/>
    </row>
    <row r="38" spans="1:15" x14ac:dyDescent="0.2">
      <c r="B38" s="17" t="s">
        <v>30</v>
      </c>
      <c r="C38" s="145"/>
      <c r="D38" s="147"/>
      <c r="E38" s="147"/>
      <c r="F38" s="147"/>
      <c r="G38" s="147"/>
      <c r="H38" s="147"/>
      <c r="I38" s="147"/>
      <c r="J38" s="147"/>
      <c r="K38" s="147"/>
    </row>
    <row r="39" spans="1:15" x14ac:dyDescent="0.2">
      <c r="B39" s="17" t="s">
        <v>206</v>
      </c>
      <c r="C39" s="145"/>
      <c r="D39" s="147"/>
      <c r="E39" s="147"/>
      <c r="F39" s="147"/>
      <c r="G39" s="147"/>
      <c r="H39" s="147"/>
      <c r="I39" s="147"/>
      <c r="J39" s="147"/>
      <c r="K39" s="147"/>
    </row>
    <row r="40" spans="1:15" s="153" customFormat="1" x14ac:dyDescent="0.2">
      <c r="A40" s="1"/>
      <c r="B40" s="17" t="s">
        <v>205</v>
      </c>
      <c r="C40" s="145"/>
      <c r="D40" s="147"/>
      <c r="E40" s="147"/>
      <c r="F40" s="147"/>
      <c r="G40" s="147"/>
      <c r="H40" s="147"/>
      <c r="I40" s="147"/>
      <c r="J40" s="147"/>
      <c r="K40" s="147"/>
      <c r="L40" s="1"/>
      <c r="M40" s="1"/>
      <c r="N40" s="1"/>
      <c r="O40" s="1"/>
    </row>
    <row r="41" spans="1:15" x14ac:dyDescent="0.2">
      <c r="B41" s="154" t="s">
        <v>127</v>
      </c>
      <c r="C41" s="155">
        <f>SUM(D41:K41)</f>
        <v>0</v>
      </c>
      <c r="D41" s="155">
        <f>SUM(D17:D20,D38:D40)</f>
        <v>0</v>
      </c>
      <c r="E41" s="155">
        <f t="shared" ref="E41:K41" si="6">SUM(E17:E20,E38:E40)</f>
        <v>0</v>
      </c>
      <c r="F41" s="155">
        <f t="shared" si="6"/>
        <v>0</v>
      </c>
      <c r="G41" s="155">
        <f t="shared" si="6"/>
        <v>0</v>
      </c>
      <c r="H41" s="155">
        <f t="shared" si="6"/>
        <v>0</v>
      </c>
      <c r="I41" s="155">
        <f t="shared" si="6"/>
        <v>0</v>
      </c>
      <c r="J41" s="155">
        <f t="shared" si="6"/>
        <v>0</v>
      </c>
      <c r="K41" s="155">
        <f t="shared" si="6"/>
        <v>0</v>
      </c>
      <c r="L41" s="153"/>
      <c r="M41" s="153"/>
      <c r="N41" s="153"/>
      <c r="O41" s="153"/>
    </row>
    <row r="42" spans="1:15" x14ac:dyDescent="0.2">
      <c r="A42" s="153"/>
      <c r="B42" s="17" t="s">
        <v>36</v>
      </c>
      <c r="C42" s="145">
        <f t="shared" si="2"/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</row>
    <row r="43" spans="1:15" ht="11.25" customHeight="1" x14ac:dyDescent="0.2">
      <c r="B43" s="17" t="s">
        <v>125</v>
      </c>
      <c r="C43" s="145">
        <f t="shared" si="2"/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/>
      <c r="J43" s="147"/>
      <c r="K43" s="147"/>
    </row>
    <row r="44" spans="1:15" x14ac:dyDescent="0.2">
      <c r="B44" s="154" t="s">
        <v>126</v>
      </c>
      <c r="C44" s="156">
        <f t="shared" si="2"/>
        <v>0</v>
      </c>
      <c r="D44" s="156">
        <f t="shared" ref="D44:K44" si="7">SUM(D41:D43)</f>
        <v>0</v>
      </c>
      <c r="E44" s="156">
        <f t="shared" si="7"/>
        <v>0</v>
      </c>
      <c r="F44" s="156">
        <f>SUM(F41:F43)</f>
        <v>0</v>
      </c>
      <c r="G44" s="156">
        <f t="shared" si="7"/>
        <v>0</v>
      </c>
      <c r="H44" s="156">
        <f t="shared" si="7"/>
        <v>0</v>
      </c>
      <c r="I44" s="156">
        <f t="shared" si="7"/>
        <v>0</v>
      </c>
      <c r="J44" s="156">
        <f t="shared" si="7"/>
        <v>0</v>
      </c>
      <c r="K44" s="156">
        <f t="shared" si="7"/>
        <v>0</v>
      </c>
    </row>
    <row r="45" spans="1:15" x14ac:dyDescent="0.2">
      <c r="B45" s="17" t="s">
        <v>44</v>
      </c>
      <c r="C45" s="145">
        <f t="shared" si="2"/>
        <v>0</v>
      </c>
      <c r="D45" s="147">
        <f t="shared" ref="D45:K45" si="8">ROUNDDOWN((D17+D19+D20+D39+D38++D40+D42+D43)*0.2,2)</f>
        <v>0</v>
      </c>
      <c r="E45" s="147">
        <f t="shared" si="8"/>
        <v>0</v>
      </c>
      <c r="F45" s="147">
        <f t="shared" si="8"/>
        <v>0</v>
      </c>
      <c r="G45" s="147">
        <f t="shared" si="8"/>
        <v>0</v>
      </c>
      <c r="H45" s="147">
        <f t="shared" si="8"/>
        <v>0</v>
      </c>
      <c r="I45" s="147">
        <f t="shared" si="8"/>
        <v>0</v>
      </c>
      <c r="J45" s="147">
        <f t="shared" si="8"/>
        <v>0</v>
      </c>
      <c r="K45" s="147">
        <f t="shared" si="8"/>
        <v>0</v>
      </c>
    </row>
    <row r="46" spans="1:15" x14ac:dyDescent="0.2">
      <c r="B46" s="143" t="s">
        <v>110</v>
      </c>
      <c r="C46" s="156">
        <f t="shared" si="2"/>
        <v>0</v>
      </c>
      <c r="D46" s="156">
        <f t="shared" ref="D46:K46" si="9">SUM(D44:D45)</f>
        <v>0</v>
      </c>
      <c r="E46" s="156">
        <f>SUM(E44:E45)</f>
        <v>0</v>
      </c>
      <c r="F46" s="156">
        <f>SUM(F44:F45)</f>
        <v>0</v>
      </c>
      <c r="G46" s="156">
        <f t="shared" si="9"/>
        <v>0</v>
      </c>
      <c r="H46" s="156">
        <f t="shared" si="9"/>
        <v>0</v>
      </c>
      <c r="I46" s="156">
        <f t="shared" si="9"/>
        <v>0</v>
      </c>
      <c r="J46" s="156">
        <f t="shared" si="9"/>
        <v>0</v>
      </c>
      <c r="K46" s="156">
        <f t="shared" si="9"/>
        <v>0</v>
      </c>
    </row>
    <row r="47" spans="1:15" x14ac:dyDescent="0.2">
      <c r="C47" s="157"/>
      <c r="D47" s="157"/>
      <c r="E47" s="157"/>
      <c r="F47" s="157"/>
      <c r="G47" s="157"/>
      <c r="H47" s="157"/>
      <c r="I47" s="157"/>
      <c r="J47" s="157"/>
      <c r="K47" s="157"/>
    </row>
    <row r="48" spans="1:15" x14ac:dyDescent="0.2">
      <c r="B48" s="158" t="s">
        <v>111</v>
      </c>
      <c r="C48" s="159">
        <f>SUM(D48:K48)</f>
        <v>0</v>
      </c>
      <c r="D48" s="160">
        <v>0</v>
      </c>
      <c r="E48" s="160">
        <f>E17+E19+E20+E38+E39+E40+E42+E43</f>
        <v>0</v>
      </c>
      <c r="F48" s="160">
        <f t="shared" ref="F48:K48" si="10">F17+F19+F20+F38+F39+F40+F42+F43</f>
        <v>0</v>
      </c>
      <c r="G48" s="160">
        <f t="shared" si="10"/>
        <v>0</v>
      </c>
      <c r="H48" s="160">
        <f t="shared" si="10"/>
        <v>0</v>
      </c>
      <c r="I48" s="160">
        <f t="shared" si="10"/>
        <v>0</v>
      </c>
      <c r="J48" s="160">
        <f t="shared" si="10"/>
        <v>0</v>
      </c>
      <c r="K48" s="160">
        <f t="shared" si="10"/>
        <v>0</v>
      </c>
    </row>
    <row r="49" spans="1:15" x14ac:dyDescent="0.2">
      <c r="B49" s="158" t="s">
        <v>128</v>
      </c>
      <c r="C49" s="159">
        <f>SUM(D49:K49)</f>
        <v>0</v>
      </c>
      <c r="D49" s="161">
        <v>0</v>
      </c>
      <c r="E49" s="161">
        <f>E17+E19+E20+E38+E39+E40</f>
        <v>0</v>
      </c>
      <c r="F49" s="161">
        <f t="shared" ref="F49:K49" si="11">F17+F19+F20+F38+F39+F40</f>
        <v>0</v>
      </c>
      <c r="G49" s="161">
        <f t="shared" si="11"/>
        <v>0</v>
      </c>
      <c r="H49" s="161">
        <f t="shared" si="11"/>
        <v>0</v>
      </c>
      <c r="I49" s="161">
        <f t="shared" si="11"/>
        <v>0</v>
      </c>
      <c r="J49" s="161">
        <f t="shared" si="11"/>
        <v>0</v>
      </c>
      <c r="K49" s="161">
        <f t="shared" si="11"/>
        <v>0</v>
      </c>
    </row>
    <row r="50" spans="1:15" x14ac:dyDescent="0.2">
      <c r="B50" s="158" t="s">
        <v>112</v>
      </c>
      <c r="C50" s="159">
        <f>SUM(D50:K50)</f>
        <v>0</v>
      </c>
      <c r="D50" s="161">
        <f t="shared" ref="D50:E50" si="12">D46-D48</f>
        <v>0</v>
      </c>
      <c r="E50" s="161">
        <f t="shared" si="12"/>
        <v>0</v>
      </c>
      <c r="F50" s="161">
        <f>F46-F48</f>
        <v>0</v>
      </c>
      <c r="G50" s="161">
        <f t="shared" ref="G50:K50" si="13">G48-G49</f>
        <v>0</v>
      </c>
      <c r="H50" s="161">
        <f t="shared" si="13"/>
        <v>0</v>
      </c>
      <c r="I50" s="161">
        <f t="shared" si="13"/>
        <v>0</v>
      </c>
      <c r="J50" s="161">
        <f t="shared" si="13"/>
        <v>0</v>
      </c>
      <c r="K50" s="161">
        <f t="shared" si="13"/>
        <v>0</v>
      </c>
    </row>
    <row r="51" spans="1:15" x14ac:dyDescent="0.2">
      <c r="B51" s="162" t="s">
        <v>45</v>
      </c>
      <c r="C51" s="157"/>
      <c r="F51" s="157"/>
      <c r="G51" s="157"/>
    </row>
    <row r="52" spans="1:15" x14ac:dyDescent="0.2">
      <c r="B52" s="162"/>
      <c r="C52" s="157"/>
      <c r="F52" s="157"/>
      <c r="G52" s="157"/>
      <c r="H52" s="157"/>
    </row>
    <row r="53" spans="1:15" x14ac:dyDescent="0.2">
      <c r="C53" s="157"/>
    </row>
    <row r="54" spans="1:15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M54" s="1" t="s">
        <v>108</v>
      </c>
    </row>
    <row r="55" spans="1:15" x14ac:dyDescent="0.2">
      <c r="B55" s="143"/>
      <c r="C55" s="143"/>
      <c r="D55" s="129">
        <v>0</v>
      </c>
      <c r="E55" s="129">
        <v>1</v>
      </c>
      <c r="F55" s="129">
        <v>2</v>
      </c>
      <c r="G55" s="129">
        <v>3</v>
      </c>
      <c r="H55" s="129">
        <v>4</v>
      </c>
      <c r="I55" s="129">
        <v>5</v>
      </c>
      <c r="J55" s="129"/>
      <c r="K55" s="129">
        <v>30</v>
      </c>
      <c r="M55" s="1" t="s">
        <v>109</v>
      </c>
    </row>
    <row r="56" spans="1:15" s="16" customFormat="1" x14ac:dyDescent="0.2">
      <c r="A56" s="1"/>
      <c r="B56" s="144" t="s">
        <v>188</v>
      </c>
      <c r="C56" s="144" t="s">
        <v>8</v>
      </c>
      <c r="D56" s="131" t="s">
        <v>189</v>
      </c>
      <c r="E56" s="132">
        <f>E16</f>
        <v>2022</v>
      </c>
      <c r="F56" s="132">
        <f t="shared" ref="F56:I56" si="14">F16</f>
        <v>2023</v>
      </c>
      <c r="G56" s="132">
        <f t="shared" si="14"/>
        <v>2024</v>
      </c>
      <c r="H56" s="132">
        <f t="shared" si="14"/>
        <v>2025</v>
      </c>
      <c r="I56" s="132">
        <f t="shared" si="14"/>
        <v>2026</v>
      </c>
      <c r="J56" s="132" t="s">
        <v>40</v>
      </c>
      <c r="K56" s="132">
        <f>K16</f>
        <v>2051</v>
      </c>
      <c r="L56" s="1"/>
      <c r="M56" s="1"/>
      <c r="N56" s="1"/>
      <c r="O56" s="1"/>
    </row>
    <row r="57" spans="1:15" s="16" customFormat="1" x14ac:dyDescent="0.2">
      <c r="A57" s="1"/>
      <c r="B57" s="17" t="s">
        <v>35</v>
      </c>
      <c r="C57" s="163">
        <f t="shared" ref="C57:C79" si="15">SUM(D57:K57)</f>
        <v>0</v>
      </c>
      <c r="D57" s="163">
        <f>D17*Parametre!$C$37</f>
        <v>0</v>
      </c>
      <c r="E57" s="163">
        <f>E17*Parametre!$C$37</f>
        <v>0</v>
      </c>
      <c r="F57" s="163">
        <f>F17*Parametre!$C$37</f>
        <v>0</v>
      </c>
      <c r="G57" s="163">
        <f>G17*Parametre!$C$37</f>
        <v>0</v>
      </c>
      <c r="H57" s="163">
        <f>H17*Parametre!$C$37</f>
        <v>0</v>
      </c>
      <c r="I57" s="163">
        <f>I17*Parametre!$C$37</f>
        <v>0</v>
      </c>
      <c r="J57" s="163">
        <f>J17*Parametre!$C$37</f>
        <v>0</v>
      </c>
      <c r="K57" s="163">
        <f>K17*Parametre!$C$37</f>
        <v>0</v>
      </c>
    </row>
    <row r="58" spans="1:15" s="16" customFormat="1" x14ac:dyDescent="0.2">
      <c r="B58" s="164" t="s">
        <v>18</v>
      </c>
      <c r="C58" s="163">
        <f t="shared" si="15"/>
        <v>0</v>
      </c>
      <c r="D58" s="163">
        <f>D18*Parametre!$C$34</f>
        <v>0</v>
      </c>
      <c r="E58" s="163">
        <f>E18*Parametre!$C$34</f>
        <v>0</v>
      </c>
      <c r="F58" s="163">
        <f>F18*Parametre!$C$34</f>
        <v>0</v>
      </c>
      <c r="G58" s="163">
        <f>G18*Parametre!$C$34</f>
        <v>0</v>
      </c>
      <c r="H58" s="163">
        <f>H18*Parametre!$C$34</f>
        <v>0</v>
      </c>
      <c r="I58" s="163">
        <f>I18*Parametre!$C$34</f>
        <v>0</v>
      </c>
      <c r="J58" s="163">
        <f>J18*Parametre!$C$34</f>
        <v>0</v>
      </c>
      <c r="K58" s="163">
        <f>K18*Parametre!$C$34</f>
        <v>0</v>
      </c>
      <c r="M58" s="16" t="s">
        <v>107</v>
      </c>
    </row>
    <row r="59" spans="1:15" s="16" customFormat="1" x14ac:dyDescent="0.2">
      <c r="B59" s="164" t="s">
        <v>31</v>
      </c>
      <c r="C59" s="163">
        <f t="shared" si="15"/>
        <v>0</v>
      </c>
      <c r="D59" s="163">
        <f>D19*Parametre!$C$37</f>
        <v>0</v>
      </c>
      <c r="E59" s="163">
        <f>E19*Parametre!$C$37</f>
        <v>0</v>
      </c>
      <c r="F59" s="163">
        <f>F19*Parametre!$C$37</f>
        <v>0</v>
      </c>
      <c r="G59" s="163">
        <f>G19*Parametre!$C$37</f>
        <v>0</v>
      </c>
      <c r="H59" s="163">
        <f>H19*Parametre!$C$37</f>
        <v>0</v>
      </c>
      <c r="I59" s="163">
        <f>I19*Parametre!$C$37</f>
        <v>0</v>
      </c>
      <c r="J59" s="163">
        <f>J19*Parametre!$C$37</f>
        <v>0</v>
      </c>
      <c r="K59" s="163">
        <f>K19*Parametre!$C$37</f>
        <v>0</v>
      </c>
    </row>
    <row r="60" spans="1:15" s="16" customFormat="1" x14ac:dyDescent="0.2">
      <c r="B60" s="17" t="s">
        <v>41</v>
      </c>
      <c r="C60" s="163">
        <f t="shared" si="15"/>
        <v>0</v>
      </c>
      <c r="D60" s="163">
        <f t="shared" ref="D60" si="16">SUM(D61:D77)</f>
        <v>0</v>
      </c>
      <c r="E60" s="163">
        <f>SUM(E61:E77)</f>
        <v>0</v>
      </c>
      <c r="F60" s="163">
        <f>SUM(F61:F77)</f>
        <v>0</v>
      </c>
      <c r="G60" s="163">
        <f t="shared" ref="G60:K60" si="17">SUM(G61:G77)</f>
        <v>0</v>
      </c>
      <c r="H60" s="163">
        <f t="shared" si="17"/>
        <v>0</v>
      </c>
      <c r="I60" s="163">
        <f t="shared" si="17"/>
        <v>0</v>
      </c>
      <c r="J60" s="163">
        <f t="shared" si="17"/>
        <v>0</v>
      </c>
      <c r="K60" s="163">
        <f t="shared" si="17"/>
        <v>0</v>
      </c>
    </row>
    <row r="61" spans="1:15" s="16" customFormat="1" x14ac:dyDescent="0.2">
      <c r="B61" s="149" t="s">
        <v>134</v>
      </c>
      <c r="C61" s="165">
        <f t="shared" si="15"/>
        <v>0</v>
      </c>
      <c r="D61" s="165">
        <f>D21*Parametre!$C$37</f>
        <v>0</v>
      </c>
      <c r="E61" s="165">
        <f>E21*Parametre!$C$37</f>
        <v>0</v>
      </c>
      <c r="F61" s="165">
        <f>F21*Parametre!$C$37</f>
        <v>0</v>
      </c>
      <c r="G61" s="165">
        <f>G21*Parametre!$C$37</f>
        <v>0</v>
      </c>
      <c r="H61" s="165">
        <f>H21*Parametre!$C$37</f>
        <v>0</v>
      </c>
      <c r="I61" s="165">
        <f>I21*Parametre!$C$37</f>
        <v>0</v>
      </c>
      <c r="J61" s="165">
        <f>J21*Parametre!$C$37</f>
        <v>0</v>
      </c>
      <c r="K61" s="165">
        <f>K21*Parametre!$C$37</f>
        <v>0</v>
      </c>
    </row>
    <row r="62" spans="1:15" s="16" customFormat="1" x14ac:dyDescent="0.2">
      <c r="B62" s="149" t="s">
        <v>181</v>
      </c>
      <c r="C62" s="165">
        <f t="shared" si="15"/>
        <v>0</v>
      </c>
      <c r="D62" s="165">
        <f>D22*Parametre!$C$37</f>
        <v>0</v>
      </c>
      <c r="E62" s="165">
        <f>E22*Parametre!$C$37</f>
        <v>0</v>
      </c>
      <c r="F62" s="165">
        <f>F22*Parametre!$C$37</f>
        <v>0</v>
      </c>
      <c r="G62" s="165">
        <f>G22*Parametre!$C$37</f>
        <v>0</v>
      </c>
      <c r="H62" s="165">
        <f>H22*Parametre!$C$37</f>
        <v>0</v>
      </c>
      <c r="I62" s="165">
        <f>I22*Parametre!$C$37</f>
        <v>0</v>
      </c>
      <c r="J62" s="165">
        <f>J22*Parametre!$C$37</f>
        <v>0</v>
      </c>
      <c r="K62" s="165">
        <f>K22*Parametre!$C$37</f>
        <v>0</v>
      </c>
    </row>
    <row r="63" spans="1:15" s="16" customFormat="1" x14ac:dyDescent="0.2">
      <c r="B63" s="149" t="s">
        <v>16</v>
      </c>
      <c r="C63" s="166">
        <f>SUM(D63:K63)</f>
        <v>0</v>
      </c>
      <c r="D63" s="165">
        <f>D23*Parametre!$C$37</f>
        <v>0</v>
      </c>
      <c r="E63" s="165">
        <f>E23*Parametre!$C$37</f>
        <v>0</v>
      </c>
      <c r="F63" s="165">
        <f>F23*Parametre!$C$37</f>
        <v>0</v>
      </c>
      <c r="G63" s="165">
        <f>G23*Parametre!$C$37</f>
        <v>0</v>
      </c>
      <c r="H63" s="165">
        <f>H23*Parametre!$C$37</f>
        <v>0</v>
      </c>
      <c r="I63" s="165">
        <f>I23*Parametre!$C$37</f>
        <v>0</v>
      </c>
      <c r="J63" s="165">
        <f>J23*Parametre!$C$37</f>
        <v>0</v>
      </c>
      <c r="K63" s="165">
        <f>K23*Parametre!$C$37</f>
        <v>0</v>
      </c>
    </row>
    <row r="64" spans="1:15" s="16" customFormat="1" x14ac:dyDescent="0.2">
      <c r="B64" s="149" t="s">
        <v>23</v>
      </c>
      <c r="C64" s="165">
        <f t="shared" si="15"/>
        <v>0</v>
      </c>
      <c r="D64" s="165">
        <f>D24*Parametre!$C$37</f>
        <v>0</v>
      </c>
      <c r="E64" s="165">
        <f>E24*Parametre!$C$37</f>
        <v>0</v>
      </c>
      <c r="F64" s="165">
        <f>F24*Parametre!$C$37</f>
        <v>0</v>
      </c>
      <c r="G64" s="165">
        <f>G24*Parametre!$C$37</f>
        <v>0</v>
      </c>
      <c r="H64" s="165">
        <f>H24*Parametre!$C$37</f>
        <v>0</v>
      </c>
      <c r="I64" s="165">
        <f>I24*Parametre!$C$37</f>
        <v>0</v>
      </c>
      <c r="J64" s="165">
        <f>J24*Parametre!$C$37</f>
        <v>0</v>
      </c>
      <c r="K64" s="165">
        <f>K24*Parametre!$C$37</f>
        <v>0</v>
      </c>
    </row>
    <row r="65" spans="2:11" s="16" customFormat="1" x14ac:dyDescent="0.2">
      <c r="B65" s="149" t="s">
        <v>136</v>
      </c>
      <c r="C65" s="165">
        <f t="shared" si="15"/>
        <v>0</v>
      </c>
      <c r="D65" s="165">
        <f>D25*Parametre!$C$37</f>
        <v>0</v>
      </c>
      <c r="E65" s="165">
        <f>E25*Parametre!$C$37</f>
        <v>0</v>
      </c>
      <c r="F65" s="165">
        <f>F25*Parametre!$C$37</f>
        <v>0</v>
      </c>
      <c r="G65" s="165">
        <f>G25*Parametre!$C$37</f>
        <v>0</v>
      </c>
      <c r="H65" s="165">
        <f>H25*Parametre!$C$37</f>
        <v>0</v>
      </c>
      <c r="I65" s="165">
        <f>I25*Parametre!$C$37</f>
        <v>0</v>
      </c>
      <c r="J65" s="165">
        <f>J25*Parametre!$C$37</f>
        <v>0</v>
      </c>
      <c r="K65" s="165">
        <f>K25*Parametre!$C$37</f>
        <v>0</v>
      </c>
    </row>
    <row r="66" spans="2:11" s="16" customFormat="1" x14ac:dyDescent="0.2">
      <c r="B66" s="149" t="s">
        <v>137</v>
      </c>
      <c r="C66" s="165">
        <f t="shared" si="15"/>
        <v>0</v>
      </c>
      <c r="D66" s="165">
        <f>D26*Parametre!$C$37</f>
        <v>0</v>
      </c>
      <c r="E66" s="165">
        <f>E26*Parametre!$C$37</f>
        <v>0</v>
      </c>
      <c r="F66" s="165">
        <f>F26*Parametre!$C$37</f>
        <v>0</v>
      </c>
      <c r="G66" s="165">
        <f>G26*Parametre!$C$37</f>
        <v>0</v>
      </c>
      <c r="H66" s="165">
        <f>H26*Parametre!$C$37</f>
        <v>0</v>
      </c>
      <c r="I66" s="165">
        <f>I26*Parametre!$C$37</f>
        <v>0</v>
      </c>
      <c r="J66" s="165">
        <f>J26*Parametre!$C$37</f>
        <v>0</v>
      </c>
      <c r="K66" s="165">
        <f>K26*Parametre!$C$37</f>
        <v>0</v>
      </c>
    </row>
    <row r="67" spans="2:11" s="16" customFormat="1" x14ac:dyDescent="0.2">
      <c r="B67" s="149" t="s">
        <v>138</v>
      </c>
      <c r="C67" s="165">
        <f t="shared" si="15"/>
        <v>0</v>
      </c>
      <c r="D67" s="165">
        <f>D27*Parametre!$C$37</f>
        <v>0</v>
      </c>
      <c r="E67" s="165">
        <f>E27*Parametre!$C$37</f>
        <v>0</v>
      </c>
      <c r="F67" s="165">
        <f>F27*Parametre!$C$37</f>
        <v>0</v>
      </c>
      <c r="G67" s="165">
        <f>G27*Parametre!$C$37</f>
        <v>0</v>
      </c>
      <c r="H67" s="165">
        <f>H27*Parametre!$C$37</f>
        <v>0</v>
      </c>
      <c r="I67" s="165">
        <f>I27*Parametre!$C$37</f>
        <v>0</v>
      </c>
      <c r="J67" s="165">
        <f>J27*Parametre!$C$37</f>
        <v>0</v>
      </c>
      <c r="K67" s="165">
        <f>K27*Parametre!$C$37</f>
        <v>0</v>
      </c>
    </row>
    <row r="68" spans="2:11" s="16" customFormat="1" x14ac:dyDescent="0.2">
      <c r="B68" s="149" t="s">
        <v>139</v>
      </c>
      <c r="C68" s="165">
        <f t="shared" si="15"/>
        <v>0</v>
      </c>
      <c r="D68" s="165">
        <f>D28*Parametre!$C$37</f>
        <v>0</v>
      </c>
      <c r="E68" s="165">
        <f>E28*Parametre!$C$37</f>
        <v>0</v>
      </c>
      <c r="F68" s="165">
        <f>F28*Parametre!$C$37</f>
        <v>0</v>
      </c>
      <c r="G68" s="165">
        <f>G28*Parametre!$C$37</f>
        <v>0</v>
      </c>
      <c r="H68" s="165">
        <f>H28*Parametre!$C$37</f>
        <v>0</v>
      </c>
      <c r="I68" s="165">
        <f>I28*Parametre!$C$37</f>
        <v>0</v>
      </c>
      <c r="J68" s="165">
        <f>J28*Parametre!$C$37</f>
        <v>0</v>
      </c>
      <c r="K68" s="165">
        <f>K28*Parametre!$C$37</f>
        <v>0</v>
      </c>
    </row>
    <row r="69" spans="2:11" s="16" customFormat="1" x14ac:dyDescent="0.2">
      <c r="B69" s="149" t="s">
        <v>140</v>
      </c>
      <c r="C69" s="165">
        <f t="shared" si="15"/>
        <v>0</v>
      </c>
      <c r="D69" s="165">
        <f>D29*Parametre!$C$37</f>
        <v>0</v>
      </c>
      <c r="E69" s="165">
        <f>E29*Parametre!$C$37</f>
        <v>0</v>
      </c>
      <c r="F69" s="165">
        <f>F29*Parametre!$C$37</f>
        <v>0</v>
      </c>
      <c r="G69" s="165">
        <f>G29*Parametre!$C$37</f>
        <v>0</v>
      </c>
      <c r="H69" s="165">
        <f>H29*Parametre!$C$37</f>
        <v>0</v>
      </c>
      <c r="I69" s="165">
        <f>I29*Parametre!$C$37</f>
        <v>0</v>
      </c>
      <c r="J69" s="165">
        <f>J29*Parametre!$C$37</f>
        <v>0</v>
      </c>
      <c r="K69" s="165">
        <f>K29*Parametre!$C$37</f>
        <v>0</v>
      </c>
    </row>
    <row r="70" spans="2:11" s="16" customFormat="1" x14ac:dyDescent="0.2">
      <c r="B70" s="149" t="s">
        <v>141</v>
      </c>
      <c r="C70" s="165">
        <f t="shared" si="15"/>
        <v>0</v>
      </c>
      <c r="D70" s="165">
        <f>D30*Parametre!$C$37</f>
        <v>0</v>
      </c>
      <c r="E70" s="165">
        <f>E30*Parametre!$C$37</f>
        <v>0</v>
      </c>
      <c r="F70" s="165">
        <f>F30*Parametre!$C$37</f>
        <v>0</v>
      </c>
      <c r="G70" s="165">
        <f>G30*Parametre!$C$37</f>
        <v>0</v>
      </c>
      <c r="H70" s="165">
        <f>H30*Parametre!$C$37</f>
        <v>0</v>
      </c>
      <c r="I70" s="165">
        <f>I30*Parametre!$C$37</f>
        <v>0</v>
      </c>
      <c r="J70" s="165">
        <f>J30*Parametre!$C$37</f>
        <v>0</v>
      </c>
      <c r="K70" s="165">
        <f>K30*Parametre!$C$37</f>
        <v>0</v>
      </c>
    </row>
    <row r="71" spans="2:11" s="16" customFormat="1" x14ac:dyDescent="0.2">
      <c r="B71" s="149" t="s">
        <v>142</v>
      </c>
      <c r="C71" s="165">
        <f t="shared" si="15"/>
        <v>0</v>
      </c>
      <c r="D71" s="165">
        <f>D31*Parametre!$C$37</f>
        <v>0</v>
      </c>
      <c r="E71" s="165">
        <f>E31*Parametre!$C$37</f>
        <v>0</v>
      </c>
      <c r="F71" s="165">
        <f>F31*Parametre!$C$37</f>
        <v>0</v>
      </c>
      <c r="G71" s="165">
        <f>G31*Parametre!$C$37</f>
        <v>0</v>
      </c>
      <c r="H71" s="165">
        <f>H31*Parametre!$C$37</f>
        <v>0</v>
      </c>
      <c r="I71" s="165">
        <f>I31*Parametre!$C$37</f>
        <v>0</v>
      </c>
      <c r="J71" s="165">
        <f>J31*Parametre!$C$37</f>
        <v>0</v>
      </c>
      <c r="K71" s="165">
        <f>K31*Parametre!$C$37</f>
        <v>0</v>
      </c>
    </row>
    <row r="72" spans="2:11" s="16" customFormat="1" x14ac:dyDescent="0.2">
      <c r="B72" s="149" t="s">
        <v>143</v>
      </c>
      <c r="C72" s="165">
        <f t="shared" si="15"/>
        <v>0</v>
      </c>
      <c r="D72" s="165">
        <f>D32*Parametre!$C$37</f>
        <v>0</v>
      </c>
      <c r="E72" s="165">
        <f>E32*Parametre!$C$37</f>
        <v>0</v>
      </c>
      <c r="F72" s="165">
        <f>F32*Parametre!$C$37</f>
        <v>0</v>
      </c>
      <c r="G72" s="165">
        <f>G32*Parametre!$C$37</f>
        <v>0</v>
      </c>
      <c r="H72" s="165">
        <f>H32*Parametre!$C$37</f>
        <v>0</v>
      </c>
      <c r="I72" s="165">
        <f>I32*Parametre!$C$37</f>
        <v>0</v>
      </c>
      <c r="J72" s="165">
        <f>J32*Parametre!$C$37</f>
        <v>0</v>
      </c>
      <c r="K72" s="165">
        <f>K32*Parametre!$C$37</f>
        <v>0</v>
      </c>
    </row>
    <row r="73" spans="2:11" s="16" customFormat="1" x14ac:dyDescent="0.2">
      <c r="B73" s="149" t="s">
        <v>144</v>
      </c>
      <c r="C73" s="165">
        <f t="shared" si="15"/>
        <v>0</v>
      </c>
      <c r="D73" s="165">
        <f>D33*Parametre!$C$37</f>
        <v>0</v>
      </c>
      <c r="E73" s="165">
        <f>E33*Parametre!$C$37</f>
        <v>0</v>
      </c>
      <c r="F73" s="165">
        <f>F33*Parametre!$C$37</f>
        <v>0</v>
      </c>
      <c r="G73" s="165">
        <f>G33*Parametre!$C$37</f>
        <v>0</v>
      </c>
      <c r="H73" s="165">
        <f>H33*Parametre!$C$37</f>
        <v>0</v>
      </c>
      <c r="I73" s="165">
        <f>I33*Parametre!$C$37</f>
        <v>0</v>
      </c>
      <c r="J73" s="165">
        <f>J33*Parametre!$C$37</f>
        <v>0</v>
      </c>
      <c r="K73" s="165">
        <f>K33*Parametre!$C$37</f>
        <v>0</v>
      </c>
    </row>
    <row r="74" spans="2:11" s="16" customFormat="1" x14ac:dyDescent="0.2">
      <c r="B74" s="149" t="s">
        <v>145</v>
      </c>
      <c r="C74" s="165">
        <f t="shared" si="15"/>
        <v>0</v>
      </c>
      <c r="D74" s="165">
        <f>D34*Parametre!$C$37</f>
        <v>0</v>
      </c>
      <c r="E74" s="165">
        <f>E34*Parametre!$C$37</f>
        <v>0</v>
      </c>
      <c r="F74" s="165">
        <f>F34*Parametre!$C$37</f>
        <v>0</v>
      </c>
      <c r="G74" s="165">
        <f>G34*Parametre!$C$37</f>
        <v>0</v>
      </c>
      <c r="H74" s="165">
        <f>H34*Parametre!$C$37</f>
        <v>0</v>
      </c>
      <c r="I74" s="165">
        <f>I34*Parametre!$C$37</f>
        <v>0</v>
      </c>
      <c r="J74" s="165">
        <f>J34*Parametre!$C$37</f>
        <v>0</v>
      </c>
      <c r="K74" s="165">
        <f>K34*Parametre!$C$37</f>
        <v>0</v>
      </c>
    </row>
    <row r="75" spans="2:11" s="16" customFormat="1" x14ac:dyDescent="0.2">
      <c r="B75" s="149" t="s">
        <v>146</v>
      </c>
      <c r="C75" s="165">
        <f t="shared" si="15"/>
        <v>0</v>
      </c>
      <c r="D75" s="165">
        <f>D35*Parametre!$C$37</f>
        <v>0</v>
      </c>
      <c r="E75" s="165">
        <f>E35*Parametre!$C$37</f>
        <v>0</v>
      </c>
      <c r="F75" s="165">
        <f>F35*Parametre!$C$37</f>
        <v>0</v>
      </c>
      <c r="G75" s="165">
        <f>G35*Parametre!$C$37</f>
        <v>0</v>
      </c>
      <c r="H75" s="165">
        <f>H35*Parametre!$C$37</f>
        <v>0</v>
      </c>
      <c r="I75" s="165">
        <f>I35*Parametre!$C$37</f>
        <v>0</v>
      </c>
      <c r="J75" s="165">
        <f>J35*Parametre!$C$37</f>
        <v>0</v>
      </c>
      <c r="K75" s="165">
        <f>K35*Parametre!$C$37</f>
        <v>0</v>
      </c>
    </row>
    <row r="76" spans="2:11" s="16" customFormat="1" x14ac:dyDescent="0.2">
      <c r="B76" s="149" t="s">
        <v>28</v>
      </c>
      <c r="C76" s="165">
        <f t="shared" si="15"/>
        <v>0</v>
      </c>
      <c r="D76" s="165">
        <f>D36*Parametre!$C$37</f>
        <v>0</v>
      </c>
      <c r="E76" s="165">
        <f>E36*Parametre!$C$37</f>
        <v>0</v>
      </c>
      <c r="F76" s="165">
        <f>F36*Parametre!$C$37</f>
        <v>0</v>
      </c>
      <c r="G76" s="165">
        <f>G36*Parametre!$C$37</f>
        <v>0</v>
      </c>
      <c r="H76" s="165">
        <f>H36*Parametre!$C$37</f>
        <v>0</v>
      </c>
      <c r="I76" s="165">
        <f>I36*Parametre!$C$37</f>
        <v>0</v>
      </c>
      <c r="J76" s="165">
        <f>J36*Parametre!$C$37</f>
        <v>0</v>
      </c>
      <c r="K76" s="165">
        <f>K36*Parametre!$C$37</f>
        <v>0</v>
      </c>
    </row>
    <row r="77" spans="2:11" s="16" customFormat="1" x14ac:dyDescent="0.2">
      <c r="B77" s="149" t="s">
        <v>42</v>
      </c>
      <c r="C77" s="165">
        <f t="shared" si="15"/>
        <v>0</v>
      </c>
      <c r="D77" s="165">
        <f>D37*Parametre!$C$37</f>
        <v>0</v>
      </c>
      <c r="E77" s="165">
        <f>E37*Parametre!$C$37</f>
        <v>0</v>
      </c>
      <c r="F77" s="165">
        <f>F37*Parametre!$C$37</f>
        <v>0</v>
      </c>
      <c r="G77" s="165">
        <f>G37*Parametre!$C$37</f>
        <v>0</v>
      </c>
      <c r="H77" s="165">
        <f>H37*Parametre!$C$37</f>
        <v>0</v>
      </c>
      <c r="I77" s="165">
        <f>I37*Parametre!$C$37</f>
        <v>0</v>
      </c>
      <c r="J77" s="165">
        <f>J37*Parametre!$C$37</f>
        <v>0</v>
      </c>
      <c r="K77" s="165">
        <f>K37*Parametre!$C$37</f>
        <v>0</v>
      </c>
    </row>
    <row r="78" spans="2:11" s="16" customFormat="1" x14ac:dyDescent="0.2">
      <c r="B78" s="164" t="s">
        <v>30</v>
      </c>
      <c r="C78" s="163">
        <f t="shared" si="15"/>
        <v>0</v>
      </c>
      <c r="D78" s="163">
        <f>D38*Parametre!$C$37</f>
        <v>0</v>
      </c>
      <c r="E78" s="163">
        <f>E38*Parametre!$C$37</f>
        <v>0</v>
      </c>
      <c r="F78" s="163">
        <f>F38*Parametre!$C$37</f>
        <v>0</v>
      </c>
      <c r="G78" s="163">
        <f>G38*Parametre!$C$37</f>
        <v>0</v>
      </c>
      <c r="H78" s="163">
        <f>H38*Parametre!$C$37</f>
        <v>0</v>
      </c>
      <c r="I78" s="163">
        <f>I38*Parametre!$C$37</f>
        <v>0</v>
      </c>
      <c r="J78" s="163">
        <f>J38*Parametre!$C$37</f>
        <v>0</v>
      </c>
      <c r="K78" s="163">
        <f>K38*Parametre!$C$37</f>
        <v>0</v>
      </c>
    </row>
    <row r="79" spans="2:11" s="16" customFormat="1" x14ac:dyDescent="0.2">
      <c r="B79" s="164" t="s">
        <v>43</v>
      </c>
      <c r="C79" s="163">
        <f t="shared" si="15"/>
        <v>0</v>
      </c>
      <c r="D79" s="163">
        <f>D39*Parametre!$C$37</f>
        <v>0</v>
      </c>
      <c r="E79" s="163">
        <f>E39*Parametre!$C$37</f>
        <v>0</v>
      </c>
      <c r="F79" s="163">
        <f>F39*Parametre!$C$37</f>
        <v>0</v>
      </c>
      <c r="G79" s="163">
        <f>G39*Parametre!$C$37</f>
        <v>0</v>
      </c>
      <c r="H79" s="163">
        <f>H39*Parametre!$C$37</f>
        <v>0</v>
      </c>
      <c r="I79" s="163">
        <f>I39*Parametre!$C$37</f>
        <v>0</v>
      </c>
      <c r="J79" s="163">
        <f>J39*Parametre!$C$37</f>
        <v>0</v>
      </c>
      <c r="K79" s="163">
        <f>K39*Parametre!$C$37</f>
        <v>0</v>
      </c>
    </row>
    <row r="80" spans="2:11" s="16" customFormat="1" x14ac:dyDescent="0.2">
      <c r="B80" s="17" t="s">
        <v>205</v>
      </c>
      <c r="C80" s="163">
        <f>SUM(D80:K80)</f>
        <v>0</v>
      </c>
      <c r="D80" s="163">
        <f>D40*Parametre!$C$37</f>
        <v>0</v>
      </c>
      <c r="E80" s="163">
        <f>E40*Parametre!$C$37</f>
        <v>0</v>
      </c>
      <c r="F80" s="163">
        <f>F40*Parametre!$C$37</f>
        <v>0</v>
      </c>
      <c r="G80" s="163"/>
      <c r="H80" s="163"/>
      <c r="I80" s="163"/>
      <c r="J80" s="163"/>
      <c r="K80" s="163"/>
    </row>
    <row r="81" spans="1:15" s="16" customFormat="1" x14ac:dyDescent="0.2">
      <c r="B81" s="167" t="s">
        <v>37</v>
      </c>
      <c r="C81" s="168">
        <f>SUM(D81:K81)</f>
        <v>0</v>
      </c>
      <c r="D81" s="168">
        <f>SUM(D57:D60,D78:D79)</f>
        <v>0</v>
      </c>
      <c r="E81" s="168">
        <f>SUM(E57:E60,E78:E80)</f>
        <v>0</v>
      </c>
      <c r="F81" s="168">
        <f>SUM(F57:F60,F78:F80)</f>
        <v>0</v>
      </c>
      <c r="G81" s="168">
        <f t="shared" ref="G81:K81" si="18">SUM(G57:G60,G78:G79)</f>
        <v>0</v>
      </c>
      <c r="H81" s="168">
        <f t="shared" si="18"/>
        <v>0</v>
      </c>
      <c r="I81" s="168">
        <f t="shared" si="18"/>
        <v>0</v>
      </c>
      <c r="J81" s="168">
        <f t="shared" si="18"/>
        <v>0</v>
      </c>
      <c r="K81" s="168">
        <f t="shared" si="18"/>
        <v>0</v>
      </c>
    </row>
    <row r="82" spans="1:15" s="16" customFormat="1" x14ac:dyDescent="0.2">
      <c r="B82" s="169"/>
      <c r="C82" s="170"/>
      <c r="D82" s="170"/>
      <c r="E82" s="170"/>
      <c r="F82" s="170"/>
      <c r="G82" s="170"/>
      <c r="H82" s="170"/>
      <c r="I82" s="170"/>
      <c r="J82" s="170"/>
      <c r="K82" s="170"/>
    </row>
    <row r="83" spans="1:15" s="16" customFormat="1" x14ac:dyDescent="0.2">
      <c r="B83" s="169"/>
      <c r="C83" s="170"/>
      <c r="D83" s="170"/>
      <c r="E83" s="170"/>
      <c r="F83" s="170"/>
      <c r="G83" s="170"/>
      <c r="H83" s="170"/>
      <c r="I83" s="170"/>
      <c r="J83" s="170"/>
      <c r="K83" s="170"/>
    </row>
    <row r="84" spans="1:15" s="16" customFormat="1" x14ac:dyDescent="0.2">
      <c r="B84" s="169"/>
      <c r="C84" s="170"/>
      <c r="D84" s="170"/>
      <c r="E84" s="170"/>
      <c r="F84" s="170"/>
      <c r="G84" s="170"/>
      <c r="H84" s="170"/>
      <c r="I84" s="170"/>
      <c r="J84" s="170"/>
      <c r="K84" s="170"/>
    </row>
    <row r="85" spans="1:15" s="16" customFormat="1" x14ac:dyDescent="0.2">
      <c r="B85" s="169"/>
      <c r="C85" s="171"/>
      <c r="D85" s="170"/>
      <c r="E85" s="170"/>
      <c r="F85" s="170"/>
      <c r="G85" s="170"/>
      <c r="H85" s="170"/>
      <c r="I85" s="170"/>
      <c r="J85" s="170"/>
      <c r="K85" s="170"/>
    </row>
    <row r="86" spans="1:15" s="16" customFormat="1" x14ac:dyDescent="0.2">
      <c r="B86" s="169"/>
      <c r="C86" s="170"/>
      <c r="D86" s="170"/>
      <c r="E86" s="170"/>
      <c r="F86" s="170"/>
      <c r="G86" s="170"/>
      <c r="H86" s="170"/>
      <c r="I86" s="170"/>
      <c r="J86" s="170"/>
      <c r="K86" s="170"/>
    </row>
    <row r="87" spans="1:15" x14ac:dyDescent="0.2">
      <c r="A87" s="16"/>
      <c r="B87" s="169" t="s">
        <v>114</v>
      </c>
      <c r="C87" s="170"/>
      <c r="D87" s="170"/>
      <c r="E87" s="170"/>
      <c r="F87" s="170"/>
      <c r="G87" s="170"/>
      <c r="H87" s="170"/>
      <c r="I87" s="170"/>
      <c r="J87" s="170"/>
      <c r="K87" s="170"/>
      <c r="L87" s="16"/>
      <c r="M87" s="16"/>
      <c r="N87" s="16"/>
      <c r="O87" s="16"/>
    </row>
    <row r="88" spans="1:15" x14ac:dyDescent="0.2">
      <c r="A88" s="16"/>
      <c r="B88" s="172" t="s">
        <v>35</v>
      </c>
    </row>
    <row r="89" spans="1:15" x14ac:dyDescent="0.2">
      <c r="B89" s="173" t="s">
        <v>91</v>
      </c>
    </row>
    <row r="90" spans="1:15" x14ac:dyDescent="0.2">
      <c r="B90" s="172" t="s">
        <v>87</v>
      </c>
    </row>
    <row r="91" spans="1:15" x14ac:dyDescent="0.2">
      <c r="B91" s="173" t="s">
        <v>88</v>
      </c>
    </row>
    <row r="92" spans="1:15" x14ac:dyDescent="0.2">
      <c r="B92" s="174" t="s">
        <v>31</v>
      </c>
    </row>
    <row r="93" spans="1:15" x14ac:dyDescent="0.2">
      <c r="B93" s="173" t="s">
        <v>89</v>
      </c>
    </row>
    <row r="94" spans="1:15" x14ac:dyDescent="0.2">
      <c r="B94" s="175" t="s">
        <v>147</v>
      </c>
    </row>
    <row r="95" spans="1:15" x14ac:dyDescent="0.2">
      <c r="B95" s="176" t="s">
        <v>154</v>
      </c>
    </row>
    <row r="96" spans="1:15" x14ac:dyDescent="0.2">
      <c r="B96" s="175" t="s">
        <v>148</v>
      </c>
    </row>
    <row r="97" spans="2:2" x14ac:dyDescent="0.2">
      <c r="B97" s="176" t="s">
        <v>149</v>
      </c>
    </row>
    <row r="98" spans="2:2" x14ac:dyDescent="0.2">
      <c r="B98" s="177" t="s">
        <v>90</v>
      </c>
    </row>
    <row r="99" spans="2:2" x14ac:dyDescent="0.2">
      <c r="B99" s="178" t="s">
        <v>150</v>
      </c>
    </row>
    <row r="100" spans="2:2" x14ac:dyDescent="0.2">
      <c r="B100" s="177" t="s">
        <v>95</v>
      </c>
    </row>
    <row r="101" spans="2:2" x14ac:dyDescent="0.2">
      <c r="B101" s="178" t="s">
        <v>151</v>
      </c>
    </row>
    <row r="102" spans="2:2" x14ac:dyDescent="0.2">
      <c r="B102" s="177" t="s">
        <v>152</v>
      </c>
    </row>
    <row r="103" spans="2:2" x14ac:dyDescent="0.2">
      <c r="B103" s="178" t="s">
        <v>153</v>
      </c>
    </row>
    <row r="104" spans="2:2" x14ac:dyDescent="0.2">
      <c r="B104" s="177" t="s">
        <v>155</v>
      </c>
    </row>
    <row r="105" spans="2:2" x14ac:dyDescent="0.2">
      <c r="B105" s="179" t="s">
        <v>159</v>
      </c>
    </row>
    <row r="106" spans="2:2" x14ac:dyDescent="0.2">
      <c r="B106" s="177" t="s">
        <v>157</v>
      </c>
    </row>
    <row r="107" spans="2:2" x14ac:dyDescent="0.2">
      <c r="B107" s="179" t="s">
        <v>160</v>
      </c>
    </row>
    <row r="108" spans="2:2" x14ac:dyDescent="0.2">
      <c r="B108" s="177" t="s">
        <v>158</v>
      </c>
    </row>
    <row r="109" spans="2:2" x14ac:dyDescent="0.2">
      <c r="B109" s="179" t="s">
        <v>161</v>
      </c>
    </row>
    <row r="110" spans="2:2" x14ac:dyDescent="0.2">
      <c r="B110" s="180" t="s">
        <v>92</v>
      </c>
    </row>
    <row r="111" spans="2:2" x14ac:dyDescent="0.2">
      <c r="B111" s="179" t="s">
        <v>93</v>
      </c>
    </row>
    <row r="112" spans="2:2" x14ac:dyDescent="0.2">
      <c r="B112" s="180" t="s">
        <v>164</v>
      </c>
    </row>
    <row r="113" spans="2:2" x14ac:dyDescent="0.2">
      <c r="B113" s="179" t="s">
        <v>169</v>
      </c>
    </row>
    <row r="114" spans="2:2" x14ac:dyDescent="0.2">
      <c r="B114" s="180" t="s">
        <v>165</v>
      </c>
    </row>
    <row r="115" spans="2:2" x14ac:dyDescent="0.2">
      <c r="B115" s="179" t="s">
        <v>170</v>
      </c>
    </row>
    <row r="116" spans="2:2" x14ac:dyDescent="0.2">
      <c r="B116" s="180" t="s">
        <v>166</v>
      </c>
    </row>
    <row r="117" spans="2:2" x14ac:dyDescent="0.2">
      <c r="B117" s="179" t="s">
        <v>171</v>
      </c>
    </row>
    <row r="118" spans="2:2" x14ac:dyDescent="0.2">
      <c r="B118" s="180" t="s">
        <v>168</v>
      </c>
    </row>
    <row r="119" spans="2:2" x14ac:dyDescent="0.2">
      <c r="B119" s="179" t="s">
        <v>172</v>
      </c>
    </row>
    <row r="120" spans="2:2" x14ac:dyDescent="0.2">
      <c r="B120" s="180" t="s">
        <v>167</v>
      </c>
    </row>
    <row r="121" spans="2:2" x14ac:dyDescent="0.2">
      <c r="B121" s="179" t="s">
        <v>173</v>
      </c>
    </row>
    <row r="122" spans="2:2" x14ac:dyDescent="0.2">
      <c r="B122" s="180" t="s">
        <v>94</v>
      </c>
    </row>
    <row r="123" spans="2:2" x14ac:dyDescent="0.2">
      <c r="B123" s="179" t="s">
        <v>162</v>
      </c>
    </row>
    <row r="124" spans="2:2" x14ac:dyDescent="0.2">
      <c r="B124" s="181" t="s">
        <v>96</v>
      </c>
    </row>
    <row r="125" spans="2:2" x14ac:dyDescent="0.2">
      <c r="B125" s="30" t="s">
        <v>163</v>
      </c>
    </row>
    <row r="126" spans="2:2" x14ac:dyDescent="0.2">
      <c r="B126" s="181" t="s">
        <v>97</v>
      </c>
    </row>
    <row r="127" spans="2:2" x14ac:dyDescent="0.2">
      <c r="B127" s="30" t="s">
        <v>156</v>
      </c>
    </row>
    <row r="128" spans="2:2" x14ac:dyDescent="0.2">
      <c r="B128" s="181" t="s">
        <v>30</v>
      </c>
    </row>
    <row r="129" spans="2:2" x14ac:dyDescent="0.2">
      <c r="B129" s="30" t="s">
        <v>98</v>
      </c>
    </row>
    <row r="130" spans="2:2" x14ac:dyDescent="0.2">
      <c r="B130" s="174" t="s">
        <v>100</v>
      </c>
    </row>
    <row r="131" spans="2:2" x14ac:dyDescent="0.2">
      <c r="B131" s="30" t="s">
        <v>99</v>
      </c>
    </row>
    <row r="132" spans="2:2" x14ac:dyDescent="0.2">
      <c r="B132" s="172" t="s">
        <v>101</v>
      </c>
    </row>
    <row r="133" spans="2:2" x14ac:dyDescent="0.2">
      <c r="B133" s="173" t="s">
        <v>103</v>
      </c>
    </row>
    <row r="134" spans="2:2" x14ac:dyDescent="0.2">
      <c r="B134" s="172" t="s">
        <v>102</v>
      </c>
    </row>
    <row r="135" spans="2:2" x14ac:dyDescent="0.2">
      <c r="B135" s="173" t="s">
        <v>104</v>
      </c>
    </row>
  </sheetData>
  <sheetProtection algorithmName="SHA-512" hashValue="eQjrGZOnn1nxDlN4PubMEUpb171ga/GZbSQoZMJVzF+H+gRUo7mV5sgYrPJ3+e10C8jCneqtADYE+Zm1iADCLg==" saltValue="E7VKF98nYrTwiSBZYE5vBA==" spinCount="100000" sheet="1" objects="1" scenarios="1" selectLockedCells="1"/>
  <phoneticPr fontId="9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8 D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30"/>
  <sheetViews>
    <sheetView zoomScaleNormal="100" workbookViewId="0">
      <selection activeCell="G45" sqref="G45"/>
    </sheetView>
  </sheetViews>
  <sheetFormatPr defaultColWidth="9.140625" defaultRowHeight="11.25" x14ac:dyDescent="0.2"/>
  <cols>
    <col min="1" max="1" width="2.7109375" style="1" customWidth="1"/>
    <col min="2" max="2" width="50.7109375" style="1" customWidth="1"/>
    <col min="3" max="9" width="13.7109375" style="1" customWidth="1"/>
    <col min="10" max="31" width="9.42578125" style="1" customWidth="1"/>
    <col min="32" max="32" width="7.5703125" style="1" customWidth="1"/>
    <col min="33" max="33" width="7.7109375" style="1" customWidth="1"/>
    <col min="34" max="35" width="7.5703125" style="1" customWidth="1"/>
    <col min="36" max="36" width="7.7109375" style="1" customWidth="1"/>
    <col min="37" max="16384" width="9.140625" style="1"/>
  </cols>
  <sheetData>
    <row r="2" spans="1:12" ht="12.75" x14ac:dyDescent="0.2">
      <c r="A2" s="121" t="s">
        <v>386</v>
      </c>
    </row>
    <row r="4" spans="1:12" ht="12" thickBot="1" x14ac:dyDescent="0.25"/>
    <row r="5" spans="1:12" x14ac:dyDescent="0.2">
      <c r="B5" s="182" t="s">
        <v>69</v>
      </c>
      <c r="H5" s="183" t="s">
        <v>70</v>
      </c>
      <c r="I5" s="184" t="s">
        <v>71</v>
      </c>
    </row>
    <row r="6" spans="1:12" ht="56.25" x14ac:dyDescent="0.2">
      <c r="B6" s="185" t="s">
        <v>24</v>
      </c>
      <c r="C6" s="186" t="s">
        <v>17</v>
      </c>
      <c r="D6" s="186" t="s">
        <v>55</v>
      </c>
      <c r="E6" s="186" t="s">
        <v>20</v>
      </c>
      <c r="F6" s="186" t="s">
        <v>19</v>
      </c>
      <c r="G6" s="187" t="s">
        <v>22</v>
      </c>
      <c r="H6" s="188" t="s">
        <v>12</v>
      </c>
      <c r="I6" s="189" t="s">
        <v>12</v>
      </c>
    </row>
    <row r="7" spans="1:12" x14ac:dyDescent="0.2">
      <c r="B7" s="190" t="s">
        <v>18</v>
      </c>
      <c r="C7" s="191" t="s">
        <v>21</v>
      </c>
      <c r="D7" s="192">
        <f>30-(Parametre!$C$14-Parametre!$C$13+1)</f>
        <v>25</v>
      </c>
      <c r="E7" s="191">
        <v>0</v>
      </c>
      <c r="F7" s="191" t="s">
        <v>21</v>
      </c>
      <c r="G7" s="193" t="s">
        <v>21</v>
      </c>
      <c r="H7" s="194"/>
      <c r="I7" s="195">
        <f>H7*Parametre!C34</f>
        <v>0</v>
      </c>
      <c r="L7" s="16" t="s">
        <v>107</v>
      </c>
    </row>
    <row r="8" spans="1:12" x14ac:dyDescent="0.2">
      <c r="B8" s="190" t="s">
        <v>134</v>
      </c>
      <c r="C8" s="19">
        <v>100</v>
      </c>
      <c r="D8" s="192">
        <f>30-(Parametre!$C$14-Parametre!$C$13+1)</f>
        <v>25</v>
      </c>
      <c r="E8" s="191">
        <v>0</v>
      </c>
      <c r="F8" s="40">
        <f>C8+(E8*C8)</f>
        <v>100</v>
      </c>
      <c r="G8" s="196">
        <f>(F8-D8)/C8</f>
        <v>0.75</v>
      </c>
      <c r="H8" s="194">
        <f>'01 Investičné výdavky'!C21*G8</f>
        <v>0</v>
      </c>
      <c r="I8" s="195">
        <f>H8*Parametre!$C$37</f>
        <v>0</v>
      </c>
    </row>
    <row r="9" spans="1:12" x14ac:dyDescent="0.2">
      <c r="B9" s="190" t="s">
        <v>135</v>
      </c>
      <c r="C9" s="19">
        <v>80</v>
      </c>
      <c r="D9" s="192">
        <f>30-(Parametre!$C$14-Parametre!$C$13+1)</f>
        <v>25</v>
      </c>
      <c r="E9" s="191">
        <v>0</v>
      </c>
      <c r="F9" s="40">
        <f t="shared" ref="F9:F22" si="0">C9+(E9*C9)</f>
        <v>80</v>
      </c>
      <c r="G9" s="196">
        <f t="shared" ref="G9:G22" si="1">(F9-D9)/C9</f>
        <v>0.6875</v>
      </c>
      <c r="H9" s="194">
        <f>'01 Investičné výdavky'!C22*G9</f>
        <v>0</v>
      </c>
      <c r="I9" s="195">
        <f>H9*Parametre!$C$37</f>
        <v>0</v>
      </c>
    </row>
    <row r="10" spans="1:12" x14ac:dyDescent="0.2">
      <c r="B10" s="190" t="s">
        <v>16</v>
      </c>
      <c r="C10" s="19">
        <v>80</v>
      </c>
      <c r="D10" s="192">
        <f>30-(Parametre!$C$14-Parametre!$C$13+1)</f>
        <v>25</v>
      </c>
      <c r="E10" s="191">
        <v>0</v>
      </c>
      <c r="F10" s="40">
        <f t="shared" si="0"/>
        <v>80</v>
      </c>
      <c r="G10" s="196">
        <f t="shared" si="1"/>
        <v>0.6875</v>
      </c>
      <c r="H10" s="194">
        <f>'01 Investičné výdavky'!C23*G10</f>
        <v>0</v>
      </c>
      <c r="I10" s="195">
        <f>H10*Parametre!$C$37</f>
        <v>0</v>
      </c>
      <c r="L10" s="1" t="s">
        <v>108</v>
      </c>
    </row>
    <row r="11" spans="1:12" x14ac:dyDescent="0.2">
      <c r="B11" s="190" t="s">
        <v>23</v>
      </c>
      <c r="C11" s="19">
        <v>60</v>
      </c>
      <c r="D11" s="192">
        <f>30-(Parametre!$C$14-Parametre!$C$13+1)</f>
        <v>25</v>
      </c>
      <c r="E11" s="191">
        <v>0</v>
      </c>
      <c r="F11" s="40">
        <f t="shared" si="0"/>
        <v>60</v>
      </c>
      <c r="G11" s="196">
        <f t="shared" si="1"/>
        <v>0.58333333333333337</v>
      </c>
      <c r="H11" s="194">
        <f>'01 Investičné výdavky'!C24*G11</f>
        <v>0</v>
      </c>
      <c r="I11" s="195">
        <f>H11*Parametre!$C$37</f>
        <v>0</v>
      </c>
      <c r="L11" s="1" t="s">
        <v>109</v>
      </c>
    </row>
    <row r="12" spans="1:12" x14ac:dyDescent="0.2">
      <c r="B12" s="190" t="s">
        <v>136</v>
      </c>
      <c r="C12" s="19">
        <v>40</v>
      </c>
      <c r="D12" s="192">
        <f>30-(Parametre!$C$14-Parametre!$C$13+1)</f>
        <v>25</v>
      </c>
      <c r="E12" s="191">
        <v>0</v>
      </c>
      <c r="F12" s="40">
        <f t="shared" si="0"/>
        <v>40</v>
      </c>
      <c r="G12" s="196">
        <f t="shared" si="1"/>
        <v>0.375</v>
      </c>
      <c r="H12" s="194">
        <f>'01 Investičné výdavky'!C25*G12</f>
        <v>0</v>
      </c>
      <c r="I12" s="195">
        <f>H12*Parametre!$C$37</f>
        <v>0</v>
      </c>
    </row>
    <row r="13" spans="1:12" x14ac:dyDescent="0.2">
      <c r="B13" s="190" t="s">
        <v>137</v>
      </c>
      <c r="C13" s="19">
        <v>50</v>
      </c>
      <c r="D13" s="192">
        <f>30-(Parametre!$C$14-Parametre!$C$13+1)</f>
        <v>25</v>
      </c>
      <c r="E13" s="191">
        <v>0</v>
      </c>
      <c r="F13" s="40">
        <f t="shared" si="0"/>
        <v>50</v>
      </c>
      <c r="G13" s="196">
        <f t="shared" si="1"/>
        <v>0.5</v>
      </c>
      <c r="H13" s="194">
        <f>'01 Investičné výdavky'!C26*G13</f>
        <v>0</v>
      </c>
      <c r="I13" s="195">
        <f>H13*Parametre!$C$37</f>
        <v>0</v>
      </c>
    </row>
    <row r="14" spans="1:12" x14ac:dyDescent="0.2">
      <c r="B14" s="190" t="s">
        <v>138</v>
      </c>
      <c r="C14" s="19">
        <v>50</v>
      </c>
      <c r="D14" s="192">
        <f>30-(Parametre!$C$14-Parametre!$C$13+1)</f>
        <v>25</v>
      </c>
      <c r="E14" s="191">
        <v>0</v>
      </c>
      <c r="F14" s="40">
        <f t="shared" si="0"/>
        <v>50</v>
      </c>
      <c r="G14" s="196">
        <f t="shared" si="1"/>
        <v>0.5</v>
      </c>
      <c r="H14" s="194">
        <f>'01 Investičné výdavky'!C27*G14</f>
        <v>0</v>
      </c>
      <c r="I14" s="195">
        <f>H14*Parametre!$C$37</f>
        <v>0</v>
      </c>
    </row>
    <row r="15" spans="1:12" x14ac:dyDescent="0.2">
      <c r="B15" s="190" t="s">
        <v>139</v>
      </c>
      <c r="C15" s="19">
        <v>30</v>
      </c>
      <c r="D15" s="192">
        <f>30-(Parametre!$C$14-Parametre!$C$13+1)</f>
        <v>25</v>
      </c>
      <c r="E15" s="191">
        <v>0</v>
      </c>
      <c r="F15" s="40">
        <f t="shared" si="0"/>
        <v>30</v>
      </c>
      <c r="G15" s="196">
        <f t="shared" si="1"/>
        <v>0.16666666666666666</v>
      </c>
      <c r="H15" s="194">
        <f>'01 Investičné výdavky'!C28*G15</f>
        <v>0</v>
      </c>
      <c r="I15" s="195">
        <f>H15*Parametre!$C$37</f>
        <v>0</v>
      </c>
    </row>
    <row r="16" spans="1:12" x14ac:dyDescent="0.2">
      <c r="B16" s="190" t="s">
        <v>140</v>
      </c>
      <c r="C16" s="19">
        <v>50</v>
      </c>
      <c r="D16" s="192">
        <f>30-(Parametre!$C$14-Parametre!$C$13+1)</f>
        <v>25</v>
      </c>
      <c r="E16" s="191">
        <v>0</v>
      </c>
      <c r="F16" s="40">
        <f t="shared" si="0"/>
        <v>50</v>
      </c>
      <c r="G16" s="196">
        <f t="shared" si="1"/>
        <v>0.5</v>
      </c>
      <c r="H16" s="194">
        <f>'01 Investičné výdavky'!C29*G16</f>
        <v>0</v>
      </c>
      <c r="I16" s="195">
        <f>H16*Parametre!$C$37</f>
        <v>0</v>
      </c>
    </row>
    <row r="17" spans="2:12" x14ac:dyDescent="0.2">
      <c r="B17" s="190" t="s">
        <v>141</v>
      </c>
      <c r="C17" s="19">
        <v>30</v>
      </c>
      <c r="D17" s="192">
        <f>30-(Parametre!$C$14-Parametre!$C$13+1)</f>
        <v>25</v>
      </c>
      <c r="E17" s="191">
        <v>0</v>
      </c>
      <c r="F17" s="40">
        <f t="shared" si="0"/>
        <v>30</v>
      </c>
      <c r="G17" s="196">
        <f t="shared" si="1"/>
        <v>0.16666666666666666</v>
      </c>
      <c r="H17" s="194">
        <f>'01 Investičné výdavky'!C30*G17</f>
        <v>0</v>
      </c>
      <c r="I17" s="195">
        <f>H17*Parametre!$C$37</f>
        <v>0</v>
      </c>
    </row>
    <row r="18" spans="2:12" x14ac:dyDescent="0.2">
      <c r="B18" s="190" t="s">
        <v>142</v>
      </c>
      <c r="C18" s="19">
        <v>20</v>
      </c>
      <c r="D18" s="192">
        <f>30-(Parametre!$C$14-Parametre!$C$13+1)</f>
        <v>25</v>
      </c>
      <c r="E18" s="191">
        <v>1</v>
      </c>
      <c r="F18" s="40">
        <f t="shared" si="0"/>
        <v>40</v>
      </c>
      <c r="G18" s="196">
        <f t="shared" si="1"/>
        <v>0.75</v>
      </c>
      <c r="H18" s="194">
        <f>'01 Investičné výdavky'!C31*G18</f>
        <v>0</v>
      </c>
      <c r="I18" s="195">
        <f>H18*Parametre!$C$37</f>
        <v>0</v>
      </c>
      <c r="K18" s="152" t="s">
        <v>105</v>
      </c>
      <c r="L18" s="197">
        <f>'01 Investičné výdavky'!C31*0.25</f>
        <v>0</v>
      </c>
    </row>
    <row r="19" spans="2:12" x14ac:dyDescent="0.2">
      <c r="B19" s="190" t="s">
        <v>143</v>
      </c>
      <c r="C19" s="19">
        <v>20</v>
      </c>
      <c r="D19" s="192">
        <f>30-(Parametre!$C$14-Parametre!$C$13+1)</f>
        <v>25</v>
      </c>
      <c r="E19" s="191">
        <v>1</v>
      </c>
      <c r="F19" s="40">
        <f t="shared" si="0"/>
        <v>40</v>
      </c>
      <c r="G19" s="196">
        <f t="shared" si="1"/>
        <v>0.75</v>
      </c>
      <c r="H19" s="194">
        <f>'01 Investičné výdavky'!C32*G19</f>
        <v>0</v>
      </c>
      <c r="I19" s="195">
        <f>H19*Parametre!$C$37</f>
        <v>0</v>
      </c>
      <c r="K19" s="152" t="s">
        <v>105</v>
      </c>
      <c r="L19" s="197">
        <f>'01 Investičné výdavky'!C32*0.25</f>
        <v>0</v>
      </c>
    </row>
    <row r="20" spans="2:12" x14ac:dyDescent="0.2">
      <c r="B20" s="190" t="s">
        <v>144</v>
      </c>
      <c r="C20" s="19">
        <v>30</v>
      </c>
      <c r="D20" s="192">
        <f>30-(Parametre!$C$14-Parametre!$C$13+1)</f>
        <v>25</v>
      </c>
      <c r="E20" s="191">
        <v>0</v>
      </c>
      <c r="F20" s="40">
        <f t="shared" si="0"/>
        <v>30</v>
      </c>
      <c r="G20" s="196">
        <f t="shared" si="1"/>
        <v>0.16666666666666666</v>
      </c>
      <c r="H20" s="194">
        <f>'01 Investičné výdavky'!C33*G20</f>
        <v>0</v>
      </c>
      <c r="I20" s="195">
        <f>H20*Parametre!$C$37</f>
        <v>0</v>
      </c>
      <c r="L20" s="1" t="s">
        <v>106</v>
      </c>
    </row>
    <row r="21" spans="2:12" x14ac:dyDescent="0.2">
      <c r="B21" s="190" t="s">
        <v>145</v>
      </c>
      <c r="C21" s="19">
        <v>30</v>
      </c>
      <c r="D21" s="192">
        <f>30-(Parametre!$C$14-Parametre!$C$13+1)</f>
        <v>25</v>
      </c>
      <c r="E21" s="191">
        <v>0</v>
      </c>
      <c r="F21" s="40">
        <f t="shared" si="0"/>
        <v>30</v>
      </c>
      <c r="G21" s="196">
        <f t="shared" si="1"/>
        <v>0.16666666666666666</v>
      </c>
      <c r="H21" s="194">
        <f>'01 Investičné výdavky'!C34*G21</f>
        <v>0</v>
      </c>
      <c r="I21" s="195">
        <f>H21*Parametre!$C$37</f>
        <v>0</v>
      </c>
    </row>
    <row r="22" spans="2:12" ht="12" thickBot="1" x14ac:dyDescent="0.25">
      <c r="B22" s="190" t="s">
        <v>146</v>
      </c>
      <c r="C22" s="19">
        <v>30</v>
      </c>
      <c r="D22" s="192">
        <f>30-(Parametre!$C$14-Parametre!$C$13+1)</f>
        <v>25</v>
      </c>
      <c r="E22" s="191">
        <v>0</v>
      </c>
      <c r="F22" s="40">
        <f t="shared" si="0"/>
        <v>30</v>
      </c>
      <c r="G22" s="196">
        <f t="shared" si="1"/>
        <v>0.16666666666666666</v>
      </c>
      <c r="H22" s="194">
        <f>'01 Investičné výdavky'!C35*G22</f>
        <v>0</v>
      </c>
      <c r="I22" s="195">
        <f>H22*Parametre!$C$37</f>
        <v>0</v>
      </c>
    </row>
    <row r="23" spans="2:12" ht="12" thickBot="1" x14ac:dyDescent="0.25">
      <c r="B23" s="143" t="s">
        <v>12</v>
      </c>
      <c r="C23" s="17"/>
      <c r="D23" s="164"/>
      <c r="E23" s="17"/>
      <c r="F23" s="17"/>
      <c r="G23" s="198"/>
      <c r="H23" s="199">
        <f>SUM(H7:H22)</f>
        <v>0</v>
      </c>
      <c r="I23" s="200">
        <f>SUM(I7:I22)</f>
        <v>0</v>
      </c>
    </row>
    <row r="24" spans="2:12" x14ac:dyDescent="0.2">
      <c r="B24" s="201" t="s">
        <v>68</v>
      </c>
    </row>
    <row r="29" spans="2:12" x14ac:dyDescent="0.2">
      <c r="B29" s="202" t="s">
        <v>210</v>
      </c>
      <c r="C29" s="203" t="e">
        <f>ROUND(((F8-D8)*H8+(F9-D9)*H9+(F10-D10)*H10+(F11-D11)*H11+(F12-D12)*H12+(F13-D13)*H13+(F14-D14)*H14+(F15-D15)*H15+(F16-D16)*H16+(F17-D17)*H17+(F18-D18)*H18+(F19-D19)*H19+(F20-D20)*H20+(F21-D21)*H21+(F22-D22)*H22)/SUM(H8:H22),0)</f>
        <v>#DIV/0!</v>
      </c>
    </row>
    <row r="30" spans="2:12" x14ac:dyDescent="0.2">
      <c r="B30" s="202" t="s">
        <v>214</v>
      </c>
      <c r="C30" s="203" t="e">
        <f>ROUND(((F8-D8)*I8+(F9-D9)*I9+(F10-D10)*I10+(F11-D11)*I11+(F12-D12)*I12+(F13-D13)*I13+(F14-D14)*I14+(F15-D15)*I15+(F16-D16)*I16+(F17-D17)*I17+(F18-D18)*I18+(F19-D19)*I19+(F20-D20)*I20+(F21-D21)*I21+(F22-D22)*I22)/SUM(I8:I22),0)</f>
        <v>#DIV/0!</v>
      </c>
    </row>
  </sheetData>
  <sheetProtection algorithmName="SHA-512" hashValue="XGVlAkpLYFdDFXKzRkPYXYqtTCu+pwJzFCaYE0/fwPJPF6re+3jQLoroqz6yeVSXWOPyeFxETeGtPkvUNO1BXQ==" saltValue="UU9pvi1iy4G2Up5X2w5kmg==" spinCount="100000" sheet="1" objects="1" scenarios="1" selectLockedCells="1"/>
  <phoneticPr fontId="9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52"/>
  <sheetViews>
    <sheetView topLeftCell="D1" zoomScaleNormal="100" workbookViewId="0">
      <selection activeCell="O48" sqref="O48"/>
    </sheetView>
  </sheetViews>
  <sheetFormatPr defaultColWidth="9.140625" defaultRowHeight="11.25" x14ac:dyDescent="0.2"/>
  <cols>
    <col min="1" max="1" width="2" style="1" customWidth="1"/>
    <col min="2" max="2" width="37.7109375" style="1" customWidth="1"/>
    <col min="3" max="3" width="10.7109375" style="1" customWidth="1"/>
    <col min="4" max="4" width="9.140625" style="1" customWidth="1"/>
    <col min="5" max="34" width="9.7109375" style="1" customWidth="1"/>
    <col min="35" max="16384" width="9.140625" style="1"/>
  </cols>
  <sheetData>
    <row r="2" spans="1:33" ht="12.75" x14ac:dyDescent="0.2">
      <c r="A2" s="121" t="s">
        <v>386</v>
      </c>
    </row>
    <row r="4" spans="1:33" x14ac:dyDescent="0.2">
      <c r="C4" s="17"/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x14ac:dyDescent="0.2">
      <c r="B5" s="143" t="s">
        <v>46</v>
      </c>
      <c r="C5" s="143"/>
      <c r="D5" s="17">
        <v>1</v>
      </c>
      <c r="E5" s="17">
        <v>2</v>
      </c>
      <c r="F5" s="17">
        <v>3</v>
      </c>
      <c r="G5" s="17">
        <v>4</v>
      </c>
      <c r="H5" s="17">
        <v>5</v>
      </c>
      <c r="I5" s="17">
        <v>6</v>
      </c>
      <c r="J5" s="17">
        <v>7</v>
      </c>
      <c r="K5" s="17">
        <v>8</v>
      </c>
      <c r="L5" s="17">
        <v>9</v>
      </c>
      <c r="M5" s="17">
        <v>10</v>
      </c>
      <c r="N5" s="17">
        <v>11</v>
      </c>
      <c r="O5" s="17">
        <v>12</v>
      </c>
      <c r="P5" s="17">
        <v>13</v>
      </c>
      <c r="Q5" s="17">
        <v>14</v>
      </c>
      <c r="R5" s="17">
        <v>15</v>
      </c>
      <c r="S5" s="17">
        <v>16</v>
      </c>
      <c r="T5" s="17">
        <v>17</v>
      </c>
      <c r="U5" s="17">
        <v>18</v>
      </c>
      <c r="V5" s="17">
        <v>19</v>
      </c>
      <c r="W5" s="17">
        <v>20</v>
      </c>
      <c r="X5" s="17">
        <v>21</v>
      </c>
      <c r="Y5" s="17">
        <v>22</v>
      </c>
      <c r="Z5" s="17">
        <v>23</v>
      </c>
      <c r="AA5" s="17">
        <v>24</v>
      </c>
      <c r="AB5" s="17">
        <v>25</v>
      </c>
      <c r="AC5" s="17">
        <v>26</v>
      </c>
      <c r="AD5" s="17">
        <v>27</v>
      </c>
      <c r="AE5" s="17">
        <v>28</v>
      </c>
      <c r="AF5" s="17">
        <v>29</v>
      </c>
      <c r="AG5" s="17">
        <v>30</v>
      </c>
    </row>
    <row r="6" spans="1:33" x14ac:dyDescent="0.2">
      <c r="B6" s="144" t="s">
        <v>25</v>
      </c>
      <c r="C6" s="144" t="s">
        <v>8</v>
      </c>
      <c r="D6" s="204">
        <f>Parametre!C13</f>
        <v>2022</v>
      </c>
      <c r="E6" s="204">
        <f>$D$6+D5</f>
        <v>2023</v>
      </c>
      <c r="F6" s="204">
        <f>$D$6+E5</f>
        <v>2024</v>
      </c>
      <c r="G6" s="204">
        <f>$D$6+F5</f>
        <v>2025</v>
      </c>
      <c r="H6" s="204">
        <f t="shared" ref="H6:AG6" si="0">$D$6+G5</f>
        <v>2026</v>
      </c>
      <c r="I6" s="204">
        <f t="shared" si="0"/>
        <v>2027</v>
      </c>
      <c r="J6" s="204">
        <f t="shared" si="0"/>
        <v>2028</v>
      </c>
      <c r="K6" s="204">
        <f t="shared" si="0"/>
        <v>2029</v>
      </c>
      <c r="L6" s="204">
        <f t="shared" si="0"/>
        <v>2030</v>
      </c>
      <c r="M6" s="204">
        <f t="shared" si="0"/>
        <v>2031</v>
      </c>
      <c r="N6" s="204">
        <f t="shared" si="0"/>
        <v>2032</v>
      </c>
      <c r="O6" s="204">
        <f t="shared" si="0"/>
        <v>2033</v>
      </c>
      <c r="P6" s="204">
        <f t="shared" si="0"/>
        <v>2034</v>
      </c>
      <c r="Q6" s="204">
        <f t="shared" si="0"/>
        <v>2035</v>
      </c>
      <c r="R6" s="204">
        <f t="shared" si="0"/>
        <v>2036</v>
      </c>
      <c r="S6" s="204">
        <f t="shared" si="0"/>
        <v>2037</v>
      </c>
      <c r="T6" s="204">
        <f t="shared" si="0"/>
        <v>2038</v>
      </c>
      <c r="U6" s="204">
        <f t="shared" si="0"/>
        <v>2039</v>
      </c>
      <c r="V6" s="204">
        <f t="shared" si="0"/>
        <v>2040</v>
      </c>
      <c r="W6" s="204">
        <f t="shared" si="0"/>
        <v>2041</v>
      </c>
      <c r="X6" s="204">
        <f t="shared" si="0"/>
        <v>2042</v>
      </c>
      <c r="Y6" s="204">
        <f t="shared" si="0"/>
        <v>2043</v>
      </c>
      <c r="Z6" s="204">
        <f t="shared" si="0"/>
        <v>2044</v>
      </c>
      <c r="AA6" s="204">
        <f t="shared" si="0"/>
        <v>2045</v>
      </c>
      <c r="AB6" s="204">
        <f t="shared" si="0"/>
        <v>2046</v>
      </c>
      <c r="AC6" s="204">
        <f t="shared" si="0"/>
        <v>2047</v>
      </c>
      <c r="AD6" s="204">
        <f t="shared" si="0"/>
        <v>2048</v>
      </c>
      <c r="AE6" s="204">
        <f t="shared" si="0"/>
        <v>2049</v>
      </c>
      <c r="AF6" s="204">
        <f t="shared" si="0"/>
        <v>2050</v>
      </c>
      <c r="AG6" s="204">
        <f t="shared" si="0"/>
        <v>2051</v>
      </c>
    </row>
    <row r="7" spans="1:33" x14ac:dyDescent="0.2">
      <c r="B7" s="17" t="s">
        <v>53</v>
      </c>
      <c r="C7" s="205">
        <f>SUM(D7:AG7)</f>
        <v>0</v>
      </c>
      <c r="D7" s="206">
        <v>0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  <c r="M7" s="206">
        <v>0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</row>
    <row r="8" spans="1:33" x14ac:dyDescent="0.2">
      <c r="B8" s="17" t="s">
        <v>26</v>
      </c>
      <c r="C8" s="205">
        <f t="shared" ref="C8:C12" si="1">SUM(D8:AG8)</f>
        <v>0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0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</row>
    <row r="9" spans="1:33" x14ac:dyDescent="0.2">
      <c r="B9" s="143" t="s">
        <v>175</v>
      </c>
      <c r="C9" s="207">
        <f t="shared" si="1"/>
        <v>0</v>
      </c>
      <c r="D9" s="207">
        <f>SUM(D7:D8)</f>
        <v>0</v>
      </c>
      <c r="E9" s="207">
        <f t="shared" ref="E9:AG9" si="2">SUM(E7:E8)</f>
        <v>0</v>
      </c>
      <c r="F9" s="207">
        <f t="shared" si="2"/>
        <v>0</v>
      </c>
      <c r="G9" s="207">
        <f t="shared" si="2"/>
        <v>0</v>
      </c>
      <c r="H9" s="207">
        <f t="shared" si="2"/>
        <v>0</v>
      </c>
      <c r="I9" s="207">
        <f t="shared" si="2"/>
        <v>0</v>
      </c>
      <c r="J9" s="207">
        <f t="shared" si="2"/>
        <v>0</v>
      </c>
      <c r="K9" s="207">
        <f t="shared" si="2"/>
        <v>0</v>
      </c>
      <c r="L9" s="207">
        <f t="shared" si="2"/>
        <v>0</v>
      </c>
      <c r="M9" s="207">
        <f t="shared" si="2"/>
        <v>0</v>
      </c>
      <c r="N9" s="207">
        <f t="shared" si="2"/>
        <v>0</v>
      </c>
      <c r="O9" s="207">
        <f t="shared" si="2"/>
        <v>0</v>
      </c>
      <c r="P9" s="207">
        <f t="shared" si="2"/>
        <v>0</v>
      </c>
      <c r="Q9" s="207">
        <f t="shared" si="2"/>
        <v>0</v>
      </c>
      <c r="R9" s="207">
        <f t="shared" si="2"/>
        <v>0</v>
      </c>
      <c r="S9" s="207">
        <f t="shared" si="2"/>
        <v>0</v>
      </c>
      <c r="T9" s="207">
        <f t="shared" si="2"/>
        <v>0</v>
      </c>
      <c r="U9" s="207">
        <f t="shared" si="2"/>
        <v>0</v>
      </c>
      <c r="V9" s="207">
        <f t="shared" si="2"/>
        <v>0</v>
      </c>
      <c r="W9" s="207">
        <f t="shared" si="2"/>
        <v>0</v>
      </c>
      <c r="X9" s="207">
        <f t="shared" si="2"/>
        <v>0</v>
      </c>
      <c r="Y9" s="207">
        <f t="shared" si="2"/>
        <v>0</v>
      </c>
      <c r="Z9" s="207">
        <f t="shared" si="2"/>
        <v>0</v>
      </c>
      <c r="AA9" s="207">
        <f t="shared" si="2"/>
        <v>0</v>
      </c>
      <c r="AB9" s="207">
        <f t="shared" si="2"/>
        <v>0</v>
      </c>
      <c r="AC9" s="207">
        <f t="shared" si="2"/>
        <v>0</v>
      </c>
      <c r="AD9" s="207">
        <f t="shared" si="2"/>
        <v>0</v>
      </c>
      <c r="AE9" s="207">
        <f t="shared" si="2"/>
        <v>0</v>
      </c>
      <c r="AF9" s="207">
        <f t="shared" si="2"/>
        <v>0</v>
      </c>
      <c r="AG9" s="207">
        <f t="shared" si="2"/>
        <v>0</v>
      </c>
    </row>
    <row r="10" spans="1:33" x14ac:dyDescent="0.2">
      <c r="B10" s="164" t="s">
        <v>50</v>
      </c>
      <c r="C10" s="205">
        <f t="shared" si="1"/>
        <v>0</v>
      </c>
      <c r="D10" s="206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0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0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</row>
    <row r="11" spans="1:33" ht="12" thickBot="1" x14ac:dyDescent="0.25">
      <c r="B11" s="208" t="s">
        <v>48</v>
      </c>
      <c r="C11" s="209">
        <f t="shared" si="1"/>
        <v>0</v>
      </c>
      <c r="D11" s="209">
        <f t="shared" ref="D11:AG11" si="3">SUM(D10:D10)</f>
        <v>0</v>
      </c>
      <c r="E11" s="209">
        <f t="shared" si="3"/>
        <v>0</v>
      </c>
      <c r="F11" s="209">
        <f t="shared" si="3"/>
        <v>0</v>
      </c>
      <c r="G11" s="209">
        <f t="shared" si="3"/>
        <v>0</v>
      </c>
      <c r="H11" s="209">
        <f t="shared" si="3"/>
        <v>0</v>
      </c>
      <c r="I11" s="209">
        <f t="shared" si="3"/>
        <v>0</v>
      </c>
      <c r="J11" s="209">
        <f t="shared" si="3"/>
        <v>0</v>
      </c>
      <c r="K11" s="209">
        <f t="shared" si="3"/>
        <v>0</v>
      </c>
      <c r="L11" s="209">
        <f t="shared" si="3"/>
        <v>0</v>
      </c>
      <c r="M11" s="209">
        <f t="shared" si="3"/>
        <v>0</v>
      </c>
      <c r="N11" s="209">
        <f t="shared" si="3"/>
        <v>0</v>
      </c>
      <c r="O11" s="209">
        <f t="shared" si="3"/>
        <v>0</v>
      </c>
      <c r="P11" s="209">
        <f t="shared" si="3"/>
        <v>0</v>
      </c>
      <c r="Q11" s="209">
        <f t="shared" si="3"/>
        <v>0</v>
      </c>
      <c r="R11" s="209">
        <f t="shared" si="3"/>
        <v>0</v>
      </c>
      <c r="S11" s="209">
        <f t="shared" si="3"/>
        <v>0</v>
      </c>
      <c r="T11" s="209">
        <f t="shared" si="3"/>
        <v>0</v>
      </c>
      <c r="U11" s="209">
        <f t="shared" si="3"/>
        <v>0</v>
      </c>
      <c r="V11" s="209">
        <f t="shared" si="3"/>
        <v>0</v>
      </c>
      <c r="W11" s="209">
        <f t="shared" si="3"/>
        <v>0</v>
      </c>
      <c r="X11" s="209">
        <f t="shared" si="3"/>
        <v>0</v>
      </c>
      <c r="Y11" s="209">
        <f t="shared" si="3"/>
        <v>0</v>
      </c>
      <c r="Z11" s="209">
        <f t="shared" si="3"/>
        <v>0</v>
      </c>
      <c r="AA11" s="209">
        <f t="shared" si="3"/>
        <v>0</v>
      </c>
      <c r="AB11" s="209">
        <f t="shared" si="3"/>
        <v>0</v>
      </c>
      <c r="AC11" s="209">
        <f t="shared" si="3"/>
        <v>0</v>
      </c>
      <c r="AD11" s="209">
        <f t="shared" si="3"/>
        <v>0</v>
      </c>
      <c r="AE11" s="209">
        <f t="shared" si="3"/>
        <v>0</v>
      </c>
      <c r="AF11" s="209">
        <f t="shared" si="3"/>
        <v>0</v>
      </c>
      <c r="AG11" s="209">
        <f t="shared" si="3"/>
        <v>0</v>
      </c>
    </row>
    <row r="12" spans="1:33" ht="12" thickTop="1" x14ac:dyDescent="0.2">
      <c r="B12" s="210" t="s">
        <v>47</v>
      </c>
      <c r="C12" s="211">
        <f t="shared" si="1"/>
        <v>0</v>
      </c>
      <c r="D12" s="211">
        <f t="shared" ref="D12:AG12" si="4">SUM(D9,D11)</f>
        <v>0</v>
      </c>
      <c r="E12" s="211">
        <f t="shared" si="4"/>
        <v>0</v>
      </c>
      <c r="F12" s="211">
        <f t="shared" si="4"/>
        <v>0</v>
      </c>
      <c r="G12" s="211">
        <f t="shared" si="4"/>
        <v>0</v>
      </c>
      <c r="H12" s="211">
        <f t="shared" si="4"/>
        <v>0</v>
      </c>
      <c r="I12" s="211">
        <f t="shared" si="4"/>
        <v>0</v>
      </c>
      <c r="J12" s="211">
        <f t="shared" si="4"/>
        <v>0</v>
      </c>
      <c r="K12" s="211">
        <f t="shared" si="4"/>
        <v>0</v>
      </c>
      <c r="L12" s="211">
        <f t="shared" si="4"/>
        <v>0</v>
      </c>
      <c r="M12" s="211">
        <f t="shared" si="4"/>
        <v>0</v>
      </c>
      <c r="N12" s="211">
        <f t="shared" si="4"/>
        <v>0</v>
      </c>
      <c r="O12" s="211">
        <f t="shared" si="4"/>
        <v>0</v>
      </c>
      <c r="P12" s="211">
        <f t="shared" si="4"/>
        <v>0</v>
      </c>
      <c r="Q12" s="211">
        <f t="shared" si="4"/>
        <v>0</v>
      </c>
      <c r="R12" s="211">
        <f t="shared" si="4"/>
        <v>0</v>
      </c>
      <c r="S12" s="211">
        <f t="shared" si="4"/>
        <v>0</v>
      </c>
      <c r="T12" s="211">
        <f t="shared" si="4"/>
        <v>0</v>
      </c>
      <c r="U12" s="211">
        <f t="shared" si="4"/>
        <v>0</v>
      </c>
      <c r="V12" s="211">
        <f t="shared" si="4"/>
        <v>0</v>
      </c>
      <c r="W12" s="211">
        <f t="shared" si="4"/>
        <v>0</v>
      </c>
      <c r="X12" s="211">
        <f t="shared" si="4"/>
        <v>0</v>
      </c>
      <c r="Y12" s="211">
        <f t="shared" si="4"/>
        <v>0</v>
      </c>
      <c r="Z12" s="211">
        <f t="shared" si="4"/>
        <v>0</v>
      </c>
      <c r="AA12" s="211">
        <f t="shared" si="4"/>
        <v>0</v>
      </c>
      <c r="AB12" s="211">
        <f t="shared" si="4"/>
        <v>0</v>
      </c>
      <c r="AC12" s="211">
        <f t="shared" si="4"/>
        <v>0</v>
      </c>
      <c r="AD12" s="211">
        <f t="shared" si="4"/>
        <v>0</v>
      </c>
      <c r="AE12" s="211">
        <f t="shared" si="4"/>
        <v>0</v>
      </c>
      <c r="AF12" s="211">
        <f t="shared" si="4"/>
        <v>0</v>
      </c>
      <c r="AG12" s="211">
        <f t="shared" si="4"/>
        <v>0</v>
      </c>
    </row>
    <row r="15" spans="1:33" x14ac:dyDescent="0.2">
      <c r="C15" s="17"/>
      <c r="D15" s="17" t="s">
        <v>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x14ac:dyDescent="0.2">
      <c r="B16" s="143" t="s">
        <v>51</v>
      </c>
      <c r="C16" s="143"/>
      <c r="D16" s="129">
        <v>1</v>
      </c>
      <c r="E16" s="129">
        <v>2</v>
      </c>
      <c r="F16" s="129">
        <v>3</v>
      </c>
      <c r="G16" s="129">
        <v>4</v>
      </c>
      <c r="H16" s="129">
        <v>5</v>
      </c>
      <c r="I16" s="129">
        <v>6</v>
      </c>
      <c r="J16" s="129">
        <v>7</v>
      </c>
      <c r="K16" s="129">
        <v>8</v>
      </c>
      <c r="L16" s="129">
        <v>9</v>
      </c>
      <c r="M16" s="129">
        <v>10</v>
      </c>
      <c r="N16" s="129">
        <v>11</v>
      </c>
      <c r="O16" s="129">
        <v>12</v>
      </c>
      <c r="P16" s="129">
        <v>13</v>
      </c>
      <c r="Q16" s="129">
        <v>14</v>
      </c>
      <c r="R16" s="129">
        <v>15</v>
      </c>
      <c r="S16" s="129">
        <v>16</v>
      </c>
      <c r="T16" s="129">
        <v>17</v>
      </c>
      <c r="U16" s="129">
        <v>18</v>
      </c>
      <c r="V16" s="129">
        <v>19</v>
      </c>
      <c r="W16" s="129">
        <v>20</v>
      </c>
      <c r="X16" s="129">
        <v>21</v>
      </c>
      <c r="Y16" s="129">
        <v>22</v>
      </c>
      <c r="Z16" s="129">
        <v>23</v>
      </c>
      <c r="AA16" s="129">
        <v>24</v>
      </c>
      <c r="AB16" s="129">
        <v>25</v>
      </c>
      <c r="AC16" s="129">
        <v>26</v>
      </c>
      <c r="AD16" s="129">
        <v>27</v>
      </c>
      <c r="AE16" s="129">
        <v>28</v>
      </c>
      <c r="AF16" s="129">
        <v>29</v>
      </c>
      <c r="AG16" s="129">
        <v>30</v>
      </c>
    </row>
    <row r="17" spans="2:33" x14ac:dyDescent="0.2">
      <c r="B17" s="144" t="s">
        <v>27</v>
      </c>
      <c r="C17" s="144" t="s">
        <v>8</v>
      </c>
      <c r="D17" s="132">
        <f>D6</f>
        <v>2022</v>
      </c>
      <c r="E17" s="132">
        <f>$D$6+D16</f>
        <v>2023</v>
      </c>
      <c r="F17" s="132">
        <f>$D$6+E16</f>
        <v>2024</v>
      </c>
      <c r="G17" s="132">
        <f>$D$6+F16</f>
        <v>2025</v>
      </c>
      <c r="H17" s="132">
        <f t="shared" ref="H17:AG17" si="5">$D$6+G16</f>
        <v>2026</v>
      </c>
      <c r="I17" s="132">
        <f t="shared" si="5"/>
        <v>2027</v>
      </c>
      <c r="J17" s="132">
        <f t="shared" si="5"/>
        <v>2028</v>
      </c>
      <c r="K17" s="132">
        <f t="shared" si="5"/>
        <v>2029</v>
      </c>
      <c r="L17" s="132">
        <f t="shared" si="5"/>
        <v>2030</v>
      </c>
      <c r="M17" s="132">
        <f t="shared" si="5"/>
        <v>2031</v>
      </c>
      <c r="N17" s="132">
        <f t="shared" si="5"/>
        <v>2032</v>
      </c>
      <c r="O17" s="132">
        <f t="shared" si="5"/>
        <v>2033</v>
      </c>
      <c r="P17" s="132">
        <f t="shared" si="5"/>
        <v>2034</v>
      </c>
      <c r="Q17" s="132">
        <f t="shared" si="5"/>
        <v>2035</v>
      </c>
      <c r="R17" s="132">
        <f t="shared" si="5"/>
        <v>2036</v>
      </c>
      <c r="S17" s="132">
        <f t="shared" si="5"/>
        <v>2037</v>
      </c>
      <c r="T17" s="132">
        <f t="shared" si="5"/>
        <v>2038</v>
      </c>
      <c r="U17" s="132">
        <f t="shared" si="5"/>
        <v>2039</v>
      </c>
      <c r="V17" s="132">
        <f t="shared" si="5"/>
        <v>2040</v>
      </c>
      <c r="W17" s="132">
        <f t="shared" si="5"/>
        <v>2041</v>
      </c>
      <c r="X17" s="132">
        <f t="shared" si="5"/>
        <v>2042</v>
      </c>
      <c r="Y17" s="132">
        <f t="shared" si="5"/>
        <v>2043</v>
      </c>
      <c r="Z17" s="132">
        <f t="shared" si="5"/>
        <v>2044</v>
      </c>
      <c r="AA17" s="132">
        <f t="shared" si="5"/>
        <v>2045</v>
      </c>
      <c r="AB17" s="132">
        <f t="shared" si="5"/>
        <v>2046</v>
      </c>
      <c r="AC17" s="132">
        <f t="shared" si="5"/>
        <v>2047</v>
      </c>
      <c r="AD17" s="132">
        <f t="shared" si="5"/>
        <v>2048</v>
      </c>
      <c r="AE17" s="132">
        <f t="shared" si="5"/>
        <v>2049</v>
      </c>
      <c r="AF17" s="132">
        <f t="shared" si="5"/>
        <v>2050</v>
      </c>
      <c r="AG17" s="132">
        <f t="shared" si="5"/>
        <v>2051</v>
      </c>
    </row>
    <row r="18" spans="2:33" x14ac:dyDescent="0.2">
      <c r="B18" s="17" t="s">
        <v>53</v>
      </c>
      <c r="C18" s="205">
        <f>SUM(D18:AG18)</f>
        <v>94182666.253846154</v>
      </c>
      <c r="D18" s="212">
        <f>(Vstupy!$C$115+Vstupy!$C$125)*12</f>
        <v>3139422.2084615389</v>
      </c>
      <c r="E18" s="212">
        <f>(Vstupy!$C$115+Vstupy!$C$125)*12</f>
        <v>3139422.2084615389</v>
      </c>
      <c r="F18" s="212">
        <f>(Vstupy!$C$115+Vstupy!$C$125)*12</f>
        <v>3139422.2084615389</v>
      </c>
      <c r="G18" s="212">
        <f>(Vstupy!$C$115+Vstupy!$C$125)*12</f>
        <v>3139422.2084615389</v>
      </c>
      <c r="H18" s="212">
        <f>(Vstupy!$C$115+Vstupy!$C$125)*12</f>
        <v>3139422.2084615389</v>
      </c>
      <c r="I18" s="212">
        <f>(Vstupy!$C$115+Vstupy!$C$125)*12</f>
        <v>3139422.2084615389</v>
      </c>
      <c r="J18" s="212">
        <f>(Vstupy!$C$115+Vstupy!$C$125)*12</f>
        <v>3139422.2084615389</v>
      </c>
      <c r="K18" s="212">
        <f>(Vstupy!$C$115+Vstupy!$C$125)*12</f>
        <v>3139422.2084615389</v>
      </c>
      <c r="L18" s="212">
        <f>(Vstupy!$C$115+Vstupy!$C$125)*12</f>
        <v>3139422.2084615389</v>
      </c>
      <c r="M18" s="212">
        <f>(Vstupy!$C$115+Vstupy!$C$125)*12</f>
        <v>3139422.2084615389</v>
      </c>
      <c r="N18" s="212">
        <f>(Vstupy!$C$115+Vstupy!$C$125)*12</f>
        <v>3139422.2084615389</v>
      </c>
      <c r="O18" s="212">
        <f>(Vstupy!$C$115+Vstupy!$C$125)*12</f>
        <v>3139422.2084615389</v>
      </c>
      <c r="P18" s="212">
        <f>(Vstupy!$C$115+Vstupy!$C$125)*12</f>
        <v>3139422.2084615389</v>
      </c>
      <c r="Q18" s="212">
        <f>(Vstupy!$C$115+Vstupy!$C$125)*12</f>
        <v>3139422.2084615389</v>
      </c>
      <c r="R18" s="212">
        <f>(Vstupy!$C$115+Vstupy!$C$125)*12</f>
        <v>3139422.2084615389</v>
      </c>
      <c r="S18" s="212">
        <f>(Vstupy!$C$115+Vstupy!$C$125)*12</f>
        <v>3139422.2084615389</v>
      </c>
      <c r="T18" s="212">
        <f>(Vstupy!$C$115+Vstupy!$C$125)*12</f>
        <v>3139422.2084615389</v>
      </c>
      <c r="U18" s="212">
        <f>(Vstupy!$C$115+Vstupy!$C$125)*12</f>
        <v>3139422.2084615389</v>
      </c>
      <c r="V18" s="212">
        <f>(Vstupy!$C$115+Vstupy!$C$125)*12</f>
        <v>3139422.2084615389</v>
      </c>
      <c r="W18" s="212">
        <f>(Vstupy!$C$115+Vstupy!$C$125)*12</f>
        <v>3139422.2084615389</v>
      </c>
      <c r="X18" s="212">
        <f>(Vstupy!$C$115+Vstupy!$C$125)*12</f>
        <v>3139422.2084615389</v>
      </c>
      <c r="Y18" s="212">
        <f>(Vstupy!$C$115+Vstupy!$C$125)*12</f>
        <v>3139422.2084615389</v>
      </c>
      <c r="Z18" s="212">
        <f>(Vstupy!$C$115+Vstupy!$C$125)*12</f>
        <v>3139422.2084615389</v>
      </c>
      <c r="AA18" s="212">
        <f>(Vstupy!$C$115+Vstupy!$C$125)*12</f>
        <v>3139422.2084615389</v>
      </c>
      <c r="AB18" s="212">
        <f>(Vstupy!$C$115+Vstupy!$C$125)*12</f>
        <v>3139422.2084615389</v>
      </c>
      <c r="AC18" s="212">
        <f>(Vstupy!$C$115+Vstupy!$C$125)*12</f>
        <v>3139422.2084615389</v>
      </c>
      <c r="AD18" s="212">
        <f>(Vstupy!$C$115+Vstupy!$C$125)*12</f>
        <v>3139422.2084615389</v>
      </c>
      <c r="AE18" s="212">
        <f>(Vstupy!$C$115+Vstupy!$C$125)*12</f>
        <v>3139422.2084615389</v>
      </c>
      <c r="AF18" s="212">
        <f>(Vstupy!$C$115+Vstupy!$C$125)*12</f>
        <v>3139422.2084615389</v>
      </c>
      <c r="AG18" s="212">
        <f>(Vstupy!$C$115+Vstupy!$C$125)*12</f>
        <v>3139422.2084615389</v>
      </c>
    </row>
    <row r="19" spans="2:33" x14ac:dyDescent="0.2">
      <c r="B19" s="17" t="s">
        <v>26</v>
      </c>
      <c r="C19" s="205">
        <f t="shared" ref="C19:C23" si="6">SUM(D19:AG19)</f>
        <v>0</v>
      </c>
      <c r="D19" s="206">
        <v>0</v>
      </c>
      <c r="E19" s="213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206">
        <v>0</v>
      </c>
      <c r="X19" s="206">
        <v>0</v>
      </c>
      <c r="Y19" s="206">
        <f>'02 Zostatková hodnota'!L18+'02 Zostatková hodnota'!L19</f>
        <v>0</v>
      </c>
      <c r="Z19" s="206">
        <v>0</v>
      </c>
      <c r="AA19" s="206">
        <v>0</v>
      </c>
      <c r="AB19" s="206">
        <v>0</v>
      </c>
      <c r="AC19" s="206">
        <v>0</v>
      </c>
      <c r="AD19" s="206">
        <v>0</v>
      </c>
      <c r="AE19" s="206">
        <v>0</v>
      </c>
      <c r="AF19" s="206">
        <v>0</v>
      </c>
      <c r="AG19" s="206">
        <v>0</v>
      </c>
    </row>
    <row r="20" spans="2:33" x14ac:dyDescent="0.2">
      <c r="B20" s="143" t="s">
        <v>175</v>
      </c>
      <c r="C20" s="207">
        <f t="shared" si="6"/>
        <v>94182666.253846154</v>
      </c>
      <c r="D20" s="207">
        <f>SUM(D18:D19)</f>
        <v>3139422.2084615389</v>
      </c>
      <c r="E20" s="207">
        <f t="shared" ref="E20:AG20" si="7">SUM(E18:E19)</f>
        <v>3139422.2084615389</v>
      </c>
      <c r="F20" s="207">
        <f t="shared" si="7"/>
        <v>3139422.2084615389</v>
      </c>
      <c r="G20" s="207">
        <f>SUM(G18:G19)</f>
        <v>3139422.2084615389</v>
      </c>
      <c r="H20" s="207">
        <f t="shared" si="7"/>
        <v>3139422.2084615389</v>
      </c>
      <c r="I20" s="207">
        <f t="shared" si="7"/>
        <v>3139422.2084615389</v>
      </c>
      <c r="J20" s="207">
        <f t="shared" si="7"/>
        <v>3139422.2084615389</v>
      </c>
      <c r="K20" s="207">
        <f t="shared" si="7"/>
        <v>3139422.2084615389</v>
      </c>
      <c r="L20" s="207">
        <f t="shared" si="7"/>
        <v>3139422.2084615389</v>
      </c>
      <c r="M20" s="207">
        <f t="shared" si="7"/>
        <v>3139422.2084615389</v>
      </c>
      <c r="N20" s="207">
        <f t="shared" si="7"/>
        <v>3139422.2084615389</v>
      </c>
      <c r="O20" s="207">
        <f t="shared" si="7"/>
        <v>3139422.2084615389</v>
      </c>
      <c r="P20" s="207">
        <f t="shared" si="7"/>
        <v>3139422.2084615389</v>
      </c>
      <c r="Q20" s="207">
        <f t="shared" si="7"/>
        <v>3139422.2084615389</v>
      </c>
      <c r="R20" s="207">
        <f t="shared" si="7"/>
        <v>3139422.2084615389</v>
      </c>
      <c r="S20" s="207">
        <f t="shared" si="7"/>
        <v>3139422.2084615389</v>
      </c>
      <c r="T20" s="207">
        <f t="shared" si="7"/>
        <v>3139422.2084615389</v>
      </c>
      <c r="U20" s="207">
        <f t="shared" si="7"/>
        <v>3139422.2084615389</v>
      </c>
      <c r="V20" s="207">
        <f t="shared" si="7"/>
        <v>3139422.2084615389</v>
      </c>
      <c r="W20" s="207">
        <f t="shared" si="7"/>
        <v>3139422.2084615389</v>
      </c>
      <c r="X20" s="207">
        <f t="shared" si="7"/>
        <v>3139422.2084615389</v>
      </c>
      <c r="Y20" s="207">
        <f t="shared" si="7"/>
        <v>3139422.2084615389</v>
      </c>
      <c r="Z20" s="207">
        <f>SUM(Z18:Z19)</f>
        <v>3139422.2084615389</v>
      </c>
      <c r="AA20" s="207">
        <f t="shared" si="7"/>
        <v>3139422.2084615389</v>
      </c>
      <c r="AB20" s="207">
        <f t="shared" si="7"/>
        <v>3139422.2084615389</v>
      </c>
      <c r="AC20" s="207">
        <f t="shared" si="7"/>
        <v>3139422.2084615389</v>
      </c>
      <c r="AD20" s="207">
        <f t="shared" si="7"/>
        <v>3139422.2084615389</v>
      </c>
      <c r="AE20" s="207">
        <f t="shared" si="7"/>
        <v>3139422.2084615389</v>
      </c>
      <c r="AF20" s="207">
        <f t="shared" si="7"/>
        <v>3139422.2084615389</v>
      </c>
      <c r="AG20" s="207">
        <f t="shared" si="7"/>
        <v>3139422.2084615389</v>
      </c>
    </row>
    <row r="21" spans="2:33" x14ac:dyDescent="0.2">
      <c r="B21" s="164" t="s">
        <v>50</v>
      </c>
      <c r="C21" s="205">
        <f t="shared" si="6"/>
        <v>78779.320000000007</v>
      </c>
      <c r="D21" s="206">
        <f>Vstupy!D129</f>
        <v>78779.320000000007</v>
      </c>
      <c r="E21" s="206"/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06">
        <v>0</v>
      </c>
    </row>
    <row r="22" spans="2:33" ht="12" thickBot="1" x14ac:dyDescent="0.25">
      <c r="B22" s="208" t="s">
        <v>48</v>
      </c>
      <c r="C22" s="209">
        <f t="shared" si="6"/>
        <v>78779.320000000007</v>
      </c>
      <c r="D22" s="209">
        <f t="shared" ref="D22:AG22" si="8">SUM(D21:D21)</f>
        <v>78779.320000000007</v>
      </c>
      <c r="E22" s="209">
        <f t="shared" si="8"/>
        <v>0</v>
      </c>
      <c r="F22" s="209">
        <f t="shared" ref="F22:H22" si="9">SUM(F21:F21)</f>
        <v>0</v>
      </c>
      <c r="G22" s="209">
        <f t="shared" si="9"/>
        <v>0</v>
      </c>
      <c r="H22" s="209">
        <f t="shared" si="9"/>
        <v>0</v>
      </c>
      <c r="I22" s="209">
        <f t="shared" si="8"/>
        <v>0</v>
      </c>
      <c r="J22" s="209">
        <f t="shared" si="8"/>
        <v>0</v>
      </c>
      <c r="K22" s="209">
        <f t="shared" si="8"/>
        <v>0</v>
      </c>
      <c r="L22" s="209">
        <f t="shared" si="8"/>
        <v>0</v>
      </c>
      <c r="M22" s="209">
        <f t="shared" si="8"/>
        <v>0</v>
      </c>
      <c r="N22" s="209">
        <f t="shared" si="8"/>
        <v>0</v>
      </c>
      <c r="O22" s="209">
        <f t="shared" si="8"/>
        <v>0</v>
      </c>
      <c r="P22" s="209">
        <f t="shared" si="8"/>
        <v>0</v>
      </c>
      <c r="Q22" s="209">
        <f t="shared" si="8"/>
        <v>0</v>
      </c>
      <c r="R22" s="209">
        <f t="shared" si="8"/>
        <v>0</v>
      </c>
      <c r="S22" s="209">
        <f t="shared" si="8"/>
        <v>0</v>
      </c>
      <c r="T22" s="209">
        <f t="shared" si="8"/>
        <v>0</v>
      </c>
      <c r="U22" s="209">
        <f t="shared" si="8"/>
        <v>0</v>
      </c>
      <c r="V22" s="209">
        <f t="shared" si="8"/>
        <v>0</v>
      </c>
      <c r="W22" s="209">
        <f t="shared" si="8"/>
        <v>0</v>
      </c>
      <c r="X22" s="209">
        <f t="shared" si="8"/>
        <v>0</v>
      </c>
      <c r="Y22" s="209">
        <f t="shared" si="8"/>
        <v>0</v>
      </c>
      <c r="Z22" s="209">
        <f t="shared" si="8"/>
        <v>0</v>
      </c>
      <c r="AA22" s="209">
        <f t="shared" si="8"/>
        <v>0</v>
      </c>
      <c r="AB22" s="209">
        <f t="shared" si="8"/>
        <v>0</v>
      </c>
      <c r="AC22" s="209">
        <f t="shared" si="8"/>
        <v>0</v>
      </c>
      <c r="AD22" s="209">
        <f t="shared" si="8"/>
        <v>0</v>
      </c>
      <c r="AE22" s="209">
        <f t="shared" si="8"/>
        <v>0</v>
      </c>
      <c r="AF22" s="209">
        <f t="shared" si="8"/>
        <v>0</v>
      </c>
      <c r="AG22" s="209">
        <f t="shared" si="8"/>
        <v>0</v>
      </c>
    </row>
    <row r="23" spans="2:33" ht="12" thickTop="1" x14ac:dyDescent="0.2">
      <c r="B23" s="210" t="s">
        <v>47</v>
      </c>
      <c r="C23" s="211">
        <f t="shared" si="6"/>
        <v>94261445.573846146</v>
      </c>
      <c r="D23" s="211">
        <f t="shared" ref="D23:AG23" si="10">SUM(D20,D22)</f>
        <v>3218201.5284615387</v>
      </c>
      <c r="E23" s="211">
        <f t="shared" si="10"/>
        <v>3139422.2084615389</v>
      </c>
      <c r="F23" s="211">
        <f t="shared" ref="F23:H23" si="11">SUM(F20,F22)</f>
        <v>3139422.2084615389</v>
      </c>
      <c r="G23" s="211">
        <f t="shared" si="11"/>
        <v>3139422.2084615389</v>
      </c>
      <c r="H23" s="211">
        <f t="shared" si="11"/>
        <v>3139422.2084615389</v>
      </c>
      <c r="I23" s="211">
        <f t="shared" si="10"/>
        <v>3139422.2084615389</v>
      </c>
      <c r="J23" s="211">
        <f t="shared" si="10"/>
        <v>3139422.2084615389</v>
      </c>
      <c r="K23" s="211">
        <f t="shared" si="10"/>
        <v>3139422.2084615389</v>
      </c>
      <c r="L23" s="211">
        <f t="shared" si="10"/>
        <v>3139422.2084615389</v>
      </c>
      <c r="M23" s="211">
        <f t="shared" si="10"/>
        <v>3139422.2084615389</v>
      </c>
      <c r="N23" s="211">
        <f t="shared" si="10"/>
        <v>3139422.2084615389</v>
      </c>
      <c r="O23" s="211">
        <f t="shared" si="10"/>
        <v>3139422.2084615389</v>
      </c>
      <c r="P23" s="211">
        <f t="shared" si="10"/>
        <v>3139422.2084615389</v>
      </c>
      <c r="Q23" s="211">
        <f t="shared" si="10"/>
        <v>3139422.2084615389</v>
      </c>
      <c r="R23" s="211">
        <f t="shared" si="10"/>
        <v>3139422.2084615389</v>
      </c>
      <c r="S23" s="211">
        <f t="shared" si="10"/>
        <v>3139422.2084615389</v>
      </c>
      <c r="T23" s="211">
        <f t="shared" si="10"/>
        <v>3139422.2084615389</v>
      </c>
      <c r="U23" s="211">
        <f t="shared" si="10"/>
        <v>3139422.2084615389</v>
      </c>
      <c r="V23" s="211">
        <f t="shared" si="10"/>
        <v>3139422.2084615389</v>
      </c>
      <c r="W23" s="211">
        <f t="shared" si="10"/>
        <v>3139422.2084615389</v>
      </c>
      <c r="X23" s="211">
        <f t="shared" si="10"/>
        <v>3139422.2084615389</v>
      </c>
      <c r="Y23" s="211">
        <f t="shared" si="10"/>
        <v>3139422.2084615389</v>
      </c>
      <c r="Z23" s="211">
        <f t="shared" si="10"/>
        <v>3139422.2084615389</v>
      </c>
      <c r="AA23" s="211">
        <f t="shared" si="10"/>
        <v>3139422.2084615389</v>
      </c>
      <c r="AB23" s="211">
        <f t="shared" si="10"/>
        <v>3139422.2084615389</v>
      </c>
      <c r="AC23" s="211">
        <f t="shared" si="10"/>
        <v>3139422.2084615389</v>
      </c>
      <c r="AD23" s="211">
        <f t="shared" si="10"/>
        <v>3139422.2084615389</v>
      </c>
      <c r="AE23" s="211">
        <f t="shared" si="10"/>
        <v>3139422.2084615389</v>
      </c>
      <c r="AF23" s="211">
        <f t="shared" si="10"/>
        <v>3139422.2084615389</v>
      </c>
      <c r="AG23" s="211">
        <f t="shared" si="10"/>
        <v>3139422.2084615389</v>
      </c>
    </row>
    <row r="26" spans="2:33" x14ac:dyDescent="0.2">
      <c r="C26" s="17"/>
      <c r="D26" s="17" t="s">
        <v>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2:33" x14ac:dyDescent="0.2">
      <c r="B27" s="143" t="s">
        <v>52</v>
      </c>
      <c r="C27" s="143"/>
      <c r="D27" s="17">
        <v>1</v>
      </c>
      <c r="E27" s="17">
        <v>2</v>
      </c>
      <c r="F27" s="17">
        <v>3</v>
      </c>
      <c r="G27" s="17">
        <v>4</v>
      </c>
      <c r="H27" s="17">
        <v>5</v>
      </c>
      <c r="I27" s="17">
        <v>6</v>
      </c>
      <c r="J27" s="17">
        <v>7</v>
      </c>
      <c r="K27" s="17">
        <v>8</v>
      </c>
      <c r="L27" s="17">
        <v>9</v>
      </c>
      <c r="M27" s="17">
        <v>10</v>
      </c>
      <c r="N27" s="17">
        <v>11</v>
      </c>
      <c r="O27" s="17">
        <v>12</v>
      </c>
      <c r="P27" s="17">
        <v>13</v>
      </c>
      <c r="Q27" s="17">
        <v>14</v>
      </c>
      <c r="R27" s="17">
        <v>15</v>
      </c>
      <c r="S27" s="17">
        <v>16</v>
      </c>
      <c r="T27" s="17">
        <v>17</v>
      </c>
      <c r="U27" s="17">
        <v>18</v>
      </c>
      <c r="V27" s="17">
        <v>19</v>
      </c>
      <c r="W27" s="17">
        <v>20</v>
      </c>
      <c r="X27" s="17">
        <v>21</v>
      </c>
      <c r="Y27" s="17">
        <v>22</v>
      </c>
      <c r="Z27" s="17">
        <v>23</v>
      </c>
      <c r="AA27" s="17">
        <v>24</v>
      </c>
      <c r="AB27" s="17">
        <v>25</v>
      </c>
      <c r="AC27" s="17">
        <v>26</v>
      </c>
      <c r="AD27" s="17">
        <v>27</v>
      </c>
      <c r="AE27" s="17">
        <v>28</v>
      </c>
      <c r="AF27" s="17">
        <v>29</v>
      </c>
      <c r="AG27" s="17">
        <v>30</v>
      </c>
    </row>
    <row r="28" spans="2:33" x14ac:dyDescent="0.2">
      <c r="B28" s="214" t="s">
        <v>34</v>
      </c>
      <c r="C28" s="214" t="s">
        <v>8</v>
      </c>
      <c r="D28" s="215">
        <f t="shared" ref="D28:AG28" si="12">D6</f>
        <v>2022</v>
      </c>
      <c r="E28" s="215">
        <f t="shared" si="12"/>
        <v>2023</v>
      </c>
      <c r="F28" s="215">
        <f t="shared" si="12"/>
        <v>2024</v>
      </c>
      <c r="G28" s="215">
        <f t="shared" si="12"/>
        <v>2025</v>
      </c>
      <c r="H28" s="215">
        <f t="shared" si="12"/>
        <v>2026</v>
      </c>
      <c r="I28" s="215">
        <f t="shared" si="12"/>
        <v>2027</v>
      </c>
      <c r="J28" s="215">
        <f t="shared" si="12"/>
        <v>2028</v>
      </c>
      <c r="K28" s="215">
        <f t="shared" si="12"/>
        <v>2029</v>
      </c>
      <c r="L28" s="215">
        <f t="shared" si="12"/>
        <v>2030</v>
      </c>
      <c r="M28" s="215">
        <f t="shared" si="12"/>
        <v>2031</v>
      </c>
      <c r="N28" s="215">
        <f t="shared" si="12"/>
        <v>2032</v>
      </c>
      <c r="O28" s="215">
        <f t="shared" si="12"/>
        <v>2033</v>
      </c>
      <c r="P28" s="215">
        <f t="shared" si="12"/>
        <v>2034</v>
      </c>
      <c r="Q28" s="215">
        <f t="shared" si="12"/>
        <v>2035</v>
      </c>
      <c r="R28" s="215">
        <f t="shared" si="12"/>
        <v>2036</v>
      </c>
      <c r="S28" s="215">
        <f t="shared" si="12"/>
        <v>2037</v>
      </c>
      <c r="T28" s="215">
        <f t="shared" si="12"/>
        <v>2038</v>
      </c>
      <c r="U28" s="215">
        <f t="shared" si="12"/>
        <v>2039</v>
      </c>
      <c r="V28" s="215">
        <f t="shared" si="12"/>
        <v>2040</v>
      </c>
      <c r="W28" s="215">
        <f t="shared" si="12"/>
        <v>2041</v>
      </c>
      <c r="X28" s="215">
        <f t="shared" si="12"/>
        <v>2042</v>
      </c>
      <c r="Y28" s="215">
        <f t="shared" si="12"/>
        <v>2043</v>
      </c>
      <c r="Z28" s="215">
        <f t="shared" si="12"/>
        <v>2044</v>
      </c>
      <c r="AA28" s="215">
        <f t="shared" si="12"/>
        <v>2045</v>
      </c>
      <c r="AB28" s="215">
        <f t="shared" si="12"/>
        <v>2046</v>
      </c>
      <c r="AC28" s="215">
        <f t="shared" si="12"/>
        <v>2047</v>
      </c>
      <c r="AD28" s="215">
        <f t="shared" si="12"/>
        <v>2048</v>
      </c>
      <c r="AE28" s="215">
        <f t="shared" si="12"/>
        <v>2049</v>
      </c>
      <c r="AF28" s="215">
        <f t="shared" si="12"/>
        <v>2050</v>
      </c>
      <c r="AG28" s="215">
        <f t="shared" si="12"/>
        <v>2051</v>
      </c>
    </row>
    <row r="29" spans="2:33" x14ac:dyDescent="0.2">
      <c r="B29" s="17" t="s">
        <v>53</v>
      </c>
      <c r="C29" s="205">
        <f t="shared" ref="C29:C34" si="13">SUM(D29:AG29)</f>
        <v>94182666.253846154</v>
      </c>
      <c r="D29" s="163">
        <f>D18-D7</f>
        <v>3139422.2084615389</v>
      </c>
      <c r="E29" s="163">
        <f>E18-E7</f>
        <v>3139422.2084615389</v>
      </c>
      <c r="F29" s="163">
        <f>F18-F7</f>
        <v>3139422.2084615389</v>
      </c>
      <c r="G29" s="163">
        <f t="shared" ref="G29:AG29" si="14">G18-G7</f>
        <v>3139422.2084615389</v>
      </c>
      <c r="H29" s="163">
        <f t="shared" si="14"/>
        <v>3139422.2084615389</v>
      </c>
      <c r="I29" s="163">
        <f t="shared" si="14"/>
        <v>3139422.2084615389</v>
      </c>
      <c r="J29" s="163">
        <f t="shared" si="14"/>
        <v>3139422.2084615389</v>
      </c>
      <c r="K29" s="163">
        <f t="shared" si="14"/>
        <v>3139422.2084615389</v>
      </c>
      <c r="L29" s="163">
        <f t="shared" si="14"/>
        <v>3139422.2084615389</v>
      </c>
      <c r="M29" s="163">
        <f t="shared" si="14"/>
        <v>3139422.2084615389</v>
      </c>
      <c r="N29" s="163">
        <f t="shared" si="14"/>
        <v>3139422.2084615389</v>
      </c>
      <c r="O29" s="163">
        <f t="shared" si="14"/>
        <v>3139422.2084615389</v>
      </c>
      <c r="P29" s="163">
        <f t="shared" si="14"/>
        <v>3139422.2084615389</v>
      </c>
      <c r="Q29" s="163">
        <f t="shared" si="14"/>
        <v>3139422.2084615389</v>
      </c>
      <c r="R29" s="163">
        <f t="shared" si="14"/>
        <v>3139422.2084615389</v>
      </c>
      <c r="S29" s="163">
        <f t="shared" si="14"/>
        <v>3139422.2084615389</v>
      </c>
      <c r="T29" s="163">
        <f t="shared" si="14"/>
        <v>3139422.2084615389</v>
      </c>
      <c r="U29" s="163">
        <f t="shared" si="14"/>
        <v>3139422.2084615389</v>
      </c>
      <c r="V29" s="163">
        <f t="shared" si="14"/>
        <v>3139422.2084615389</v>
      </c>
      <c r="W29" s="163">
        <f t="shared" si="14"/>
        <v>3139422.2084615389</v>
      </c>
      <c r="X29" s="163">
        <f t="shared" si="14"/>
        <v>3139422.2084615389</v>
      </c>
      <c r="Y29" s="163">
        <f t="shared" si="14"/>
        <v>3139422.2084615389</v>
      </c>
      <c r="Z29" s="163">
        <f t="shared" si="14"/>
        <v>3139422.2084615389</v>
      </c>
      <c r="AA29" s="163">
        <f t="shared" si="14"/>
        <v>3139422.2084615389</v>
      </c>
      <c r="AB29" s="163">
        <f t="shared" si="14"/>
        <v>3139422.2084615389</v>
      </c>
      <c r="AC29" s="163">
        <f t="shared" si="14"/>
        <v>3139422.2084615389</v>
      </c>
      <c r="AD29" s="163">
        <f t="shared" si="14"/>
        <v>3139422.2084615389</v>
      </c>
      <c r="AE29" s="163">
        <f t="shared" si="14"/>
        <v>3139422.2084615389</v>
      </c>
      <c r="AF29" s="163">
        <f t="shared" si="14"/>
        <v>3139422.2084615389</v>
      </c>
      <c r="AG29" s="163">
        <f t="shared" si="14"/>
        <v>3139422.2084615389</v>
      </c>
    </row>
    <row r="30" spans="2:33" x14ac:dyDescent="0.2">
      <c r="B30" s="17" t="s">
        <v>26</v>
      </c>
      <c r="C30" s="205">
        <f t="shared" si="13"/>
        <v>0</v>
      </c>
      <c r="D30" s="163">
        <f t="shared" ref="D30:AG30" si="15">D19-D8</f>
        <v>0</v>
      </c>
      <c r="E30" s="163">
        <f t="shared" si="15"/>
        <v>0</v>
      </c>
      <c r="F30" s="163">
        <f t="shared" si="15"/>
        <v>0</v>
      </c>
      <c r="G30" s="163">
        <f t="shared" si="15"/>
        <v>0</v>
      </c>
      <c r="H30" s="163">
        <f t="shared" si="15"/>
        <v>0</v>
      </c>
      <c r="I30" s="163">
        <f t="shared" si="15"/>
        <v>0</v>
      </c>
      <c r="J30" s="163">
        <f t="shared" si="15"/>
        <v>0</v>
      </c>
      <c r="K30" s="163">
        <f t="shared" si="15"/>
        <v>0</v>
      </c>
      <c r="L30" s="163">
        <f t="shared" si="15"/>
        <v>0</v>
      </c>
      <c r="M30" s="163">
        <f t="shared" si="15"/>
        <v>0</v>
      </c>
      <c r="N30" s="163">
        <f t="shared" si="15"/>
        <v>0</v>
      </c>
      <c r="O30" s="163">
        <f t="shared" si="15"/>
        <v>0</v>
      </c>
      <c r="P30" s="163">
        <f t="shared" si="15"/>
        <v>0</v>
      </c>
      <c r="Q30" s="163">
        <f t="shared" si="15"/>
        <v>0</v>
      </c>
      <c r="R30" s="163">
        <f t="shared" si="15"/>
        <v>0</v>
      </c>
      <c r="S30" s="163">
        <f t="shared" si="15"/>
        <v>0</v>
      </c>
      <c r="T30" s="163">
        <f t="shared" si="15"/>
        <v>0</v>
      </c>
      <c r="U30" s="163">
        <f t="shared" si="15"/>
        <v>0</v>
      </c>
      <c r="V30" s="163">
        <f t="shared" si="15"/>
        <v>0</v>
      </c>
      <c r="W30" s="163">
        <f t="shared" si="15"/>
        <v>0</v>
      </c>
      <c r="X30" s="163">
        <f t="shared" si="15"/>
        <v>0</v>
      </c>
      <c r="Y30" s="163">
        <f t="shared" si="15"/>
        <v>0</v>
      </c>
      <c r="Z30" s="163">
        <f>Z19-Z8</f>
        <v>0</v>
      </c>
      <c r="AA30" s="163">
        <f>AA19-AA8</f>
        <v>0</v>
      </c>
      <c r="AB30" s="163">
        <f t="shared" si="15"/>
        <v>0</v>
      </c>
      <c r="AC30" s="163">
        <f t="shared" si="15"/>
        <v>0</v>
      </c>
      <c r="AD30" s="163">
        <f t="shared" si="15"/>
        <v>0</v>
      </c>
      <c r="AE30" s="163">
        <f t="shared" si="15"/>
        <v>0</v>
      </c>
      <c r="AF30" s="163">
        <f t="shared" si="15"/>
        <v>0</v>
      </c>
      <c r="AG30" s="163">
        <f t="shared" si="15"/>
        <v>0</v>
      </c>
    </row>
    <row r="31" spans="2:33" x14ac:dyDescent="0.2">
      <c r="B31" s="143" t="s">
        <v>175</v>
      </c>
      <c r="C31" s="207">
        <f t="shared" si="13"/>
        <v>94182666.253846154</v>
      </c>
      <c r="D31" s="207">
        <f t="shared" ref="D31:AG31" si="16">SUM(D29:D30)</f>
        <v>3139422.2084615389</v>
      </c>
      <c r="E31" s="207">
        <f t="shared" si="16"/>
        <v>3139422.2084615389</v>
      </c>
      <c r="F31" s="207">
        <f t="shared" ref="F31:H31" si="17">SUM(F29:F30)</f>
        <v>3139422.2084615389</v>
      </c>
      <c r="G31" s="207">
        <f t="shared" si="17"/>
        <v>3139422.2084615389</v>
      </c>
      <c r="H31" s="207">
        <f t="shared" si="17"/>
        <v>3139422.2084615389</v>
      </c>
      <c r="I31" s="207">
        <f t="shared" si="16"/>
        <v>3139422.2084615389</v>
      </c>
      <c r="J31" s="207">
        <f t="shared" si="16"/>
        <v>3139422.2084615389</v>
      </c>
      <c r="K31" s="207">
        <f t="shared" si="16"/>
        <v>3139422.2084615389</v>
      </c>
      <c r="L31" s="207">
        <f t="shared" si="16"/>
        <v>3139422.2084615389</v>
      </c>
      <c r="M31" s="207">
        <f t="shared" si="16"/>
        <v>3139422.2084615389</v>
      </c>
      <c r="N31" s="207">
        <f t="shared" si="16"/>
        <v>3139422.2084615389</v>
      </c>
      <c r="O31" s="207">
        <f t="shared" si="16"/>
        <v>3139422.2084615389</v>
      </c>
      <c r="P31" s="207">
        <f t="shared" si="16"/>
        <v>3139422.2084615389</v>
      </c>
      <c r="Q31" s="207">
        <f t="shared" si="16"/>
        <v>3139422.2084615389</v>
      </c>
      <c r="R31" s="207">
        <f t="shared" si="16"/>
        <v>3139422.2084615389</v>
      </c>
      <c r="S31" s="207">
        <f t="shared" si="16"/>
        <v>3139422.2084615389</v>
      </c>
      <c r="T31" s="207">
        <f t="shared" si="16"/>
        <v>3139422.2084615389</v>
      </c>
      <c r="U31" s="207">
        <f t="shared" si="16"/>
        <v>3139422.2084615389</v>
      </c>
      <c r="V31" s="207">
        <f t="shared" si="16"/>
        <v>3139422.2084615389</v>
      </c>
      <c r="W31" s="207">
        <f t="shared" si="16"/>
        <v>3139422.2084615389</v>
      </c>
      <c r="X31" s="207">
        <f t="shared" si="16"/>
        <v>3139422.2084615389</v>
      </c>
      <c r="Y31" s="207">
        <f t="shared" si="16"/>
        <v>3139422.2084615389</v>
      </c>
      <c r="Z31" s="207">
        <f t="shared" si="16"/>
        <v>3139422.2084615389</v>
      </c>
      <c r="AA31" s="207">
        <f t="shared" si="16"/>
        <v>3139422.2084615389</v>
      </c>
      <c r="AB31" s="207">
        <f t="shared" si="16"/>
        <v>3139422.2084615389</v>
      </c>
      <c r="AC31" s="207">
        <f t="shared" si="16"/>
        <v>3139422.2084615389</v>
      </c>
      <c r="AD31" s="207">
        <f t="shared" si="16"/>
        <v>3139422.2084615389</v>
      </c>
      <c r="AE31" s="207">
        <f t="shared" si="16"/>
        <v>3139422.2084615389</v>
      </c>
      <c r="AF31" s="207">
        <f t="shared" si="16"/>
        <v>3139422.2084615389</v>
      </c>
      <c r="AG31" s="207">
        <f t="shared" si="16"/>
        <v>3139422.2084615389</v>
      </c>
    </row>
    <row r="32" spans="2:33" x14ac:dyDescent="0.2">
      <c r="B32" s="164" t="s">
        <v>50</v>
      </c>
      <c r="C32" s="205">
        <f t="shared" si="13"/>
        <v>78779.320000000007</v>
      </c>
      <c r="D32" s="163">
        <f t="shared" ref="D32:AG32" si="18">D21-D10</f>
        <v>78779.320000000007</v>
      </c>
      <c r="E32" s="163">
        <f t="shared" si="18"/>
        <v>0</v>
      </c>
      <c r="F32" s="163">
        <f t="shared" ref="F32:H32" si="19">F21-F10</f>
        <v>0</v>
      </c>
      <c r="G32" s="163">
        <f t="shared" si="19"/>
        <v>0</v>
      </c>
      <c r="H32" s="163">
        <f t="shared" si="19"/>
        <v>0</v>
      </c>
      <c r="I32" s="163">
        <f t="shared" si="18"/>
        <v>0</v>
      </c>
      <c r="J32" s="163">
        <f t="shared" si="18"/>
        <v>0</v>
      </c>
      <c r="K32" s="163">
        <f t="shared" si="18"/>
        <v>0</v>
      </c>
      <c r="L32" s="163">
        <f t="shared" si="18"/>
        <v>0</v>
      </c>
      <c r="M32" s="163">
        <f t="shared" si="18"/>
        <v>0</v>
      </c>
      <c r="N32" s="163">
        <f t="shared" si="18"/>
        <v>0</v>
      </c>
      <c r="O32" s="163">
        <f t="shared" si="18"/>
        <v>0</v>
      </c>
      <c r="P32" s="163">
        <f t="shared" si="18"/>
        <v>0</v>
      </c>
      <c r="Q32" s="163">
        <f t="shared" si="18"/>
        <v>0</v>
      </c>
      <c r="R32" s="163">
        <f t="shared" si="18"/>
        <v>0</v>
      </c>
      <c r="S32" s="163">
        <f t="shared" si="18"/>
        <v>0</v>
      </c>
      <c r="T32" s="163">
        <f t="shared" si="18"/>
        <v>0</v>
      </c>
      <c r="U32" s="163">
        <f t="shared" si="18"/>
        <v>0</v>
      </c>
      <c r="V32" s="163">
        <f t="shared" si="18"/>
        <v>0</v>
      </c>
      <c r="W32" s="163">
        <f t="shared" si="18"/>
        <v>0</v>
      </c>
      <c r="X32" s="163">
        <f t="shared" si="18"/>
        <v>0</v>
      </c>
      <c r="Y32" s="163">
        <f t="shared" si="18"/>
        <v>0</v>
      </c>
      <c r="Z32" s="163">
        <f t="shared" si="18"/>
        <v>0</v>
      </c>
      <c r="AA32" s="163">
        <f t="shared" si="18"/>
        <v>0</v>
      </c>
      <c r="AB32" s="163">
        <f t="shared" si="18"/>
        <v>0</v>
      </c>
      <c r="AC32" s="163">
        <f t="shared" si="18"/>
        <v>0</v>
      </c>
      <c r="AD32" s="163">
        <f t="shared" si="18"/>
        <v>0</v>
      </c>
      <c r="AE32" s="163">
        <f t="shared" si="18"/>
        <v>0</v>
      </c>
      <c r="AF32" s="163">
        <f t="shared" si="18"/>
        <v>0</v>
      </c>
      <c r="AG32" s="163">
        <f t="shared" si="18"/>
        <v>0</v>
      </c>
    </row>
    <row r="33" spans="2:33" ht="12" thickBot="1" x14ac:dyDescent="0.25">
      <c r="B33" s="208" t="s">
        <v>48</v>
      </c>
      <c r="C33" s="209">
        <f t="shared" si="13"/>
        <v>78779.320000000007</v>
      </c>
      <c r="D33" s="209">
        <f t="shared" ref="D33:AG33" si="20">SUM(D32:D32)</f>
        <v>78779.320000000007</v>
      </c>
      <c r="E33" s="209">
        <f t="shared" si="20"/>
        <v>0</v>
      </c>
      <c r="F33" s="209">
        <f t="shared" ref="F33:H33" si="21">SUM(F32:F32)</f>
        <v>0</v>
      </c>
      <c r="G33" s="209">
        <f t="shared" si="21"/>
        <v>0</v>
      </c>
      <c r="H33" s="209">
        <f t="shared" si="21"/>
        <v>0</v>
      </c>
      <c r="I33" s="209">
        <f t="shared" si="20"/>
        <v>0</v>
      </c>
      <c r="J33" s="209">
        <f t="shared" si="20"/>
        <v>0</v>
      </c>
      <c r="K33" s="209">
        <f t="shared" si="20"/>
        <v>0</v>
      </c>
      <c r="L33" s="209">
        <f t="shared" si="20"/>
        <v>0</v>
      </c>
      <c r="M33" s="209">
        <f t="shared" si="20"/>
        <v>0</v>
      </c>
      <c r="N33" s="209">
        <f t="shared" si="20"/>
        <v>0</v>
      </c>
      <c r="O33" s="209">
        <f t="shared" si="20"/>
        <v>0</v>
      </c>
      <c r="P33" s="209">
        <f t="shared" si="20"/>
        <v>0</v>
      </c>
      <c r="Q33" s="209">
        <f t="shared" si="20"/>
        <v>0</v>
      </c>
      <c r="R33" s="209">
        <f t="shared" si="20"/>
        <v>0</v>
      </c>
      <c r="S33" s="209">
        <f t="shared" si="20"/>
        <v>0</v>
      </c>
      <c r="T33" s="209">
        <f t="shared" si="20"/>
        <v>0</v>
      </c>
      <c r="U33" s="209">
        <f t="shared" si="20"/>
        <v>0</v>
      </c>
      <c r="V33" s="209">
        <f t="shared" si="20"/>
        <v>0</v>
      </c>
      <c r="W33" s="209">
        <f t="shared" si="20"/>
        <v>0</v>
      </c>
      <c r="X33" s="209">
        <f t="shared" si="20"/>
        <v>0</v>
      </c>
      <c r="Y33" s="209">
        <f t="shared" si="20"/>
        <v>0</v>
      </c>
      <c r="Z33" s="209">
        <f t="shared" si="20"/>
        <v>0</v>
      </c>
      <c r="AA33" s="209">
        <f t="shared" si="20"/>
        <v>0</v>
      </c>
      <c r="AB33" s="209">
        <f t="shared" si="20"/>
        <v>0</v>
      </c>
      <c r="AC33" s="209">
        <f t="shared" si="20"/>
        <v>0</v>
      </c>
      <c r="AD33" s="209">
        <f t="shared" si="20"/>
        <v>0</v>
      </c>
      <c r="AE33" s="209">
        <f t="shared" si="20"/>
        <v>0</v>
      </c>
      <c r="AF33" s="209">
        <f t="shared" si="20"/>
        <v>0</v>
      </c>
      <c r="AG33" s="209">
        <f t="shared" si="20"/>
        <v>0</v>
      </c>
    </row>
    <row r="34" spans="2:33" ht="12" thickTop="1" x14ac:dyDescent="0.2">
      <c r="B34" s="210" t="s">
        <v>47</v>
      </c>
      <c r="C34" s="211">
        <f t="shared" si="13"/>
        <v>94261445.573846146</v>
      </c>
      <c r="D34" s="211">
        <f t="shared" ref="D34:AG34" si="22">SUM(D31,D33)</f>
        <v>3218201.5284615387</v>
      </c>
      <c r="E34" s="211">
        <f t="shared" si="22"/>
        <v>3139422.2084615389</v>
      </c>
      <c r="F34" s="211">
        <f t="shared" ref="F34:H34" si="23">SUM(F31,F33)</f>
        <v>3139422.2084615389</v>
      </c>
      <c r="G34" s="211">
        <f t="shared" si="23"/>
        <v>3139422.2084615389</v>
      </c>
      <c r="H34" s="211">
        <f t="shared" si="23"/>
        <v>3139422.2084615389</v>
      </c>
      <c r="I34" s="211">
        <f t="shared" si="22"/>
        <v>3139422.2084615389</v>
      </c>
      <c r="J34" s="211">
        <f t="shared" si="22"/>
        <v>3139422.2084615389</v>
      </c>
      <c r="K34" s="211">
        <f t="shared" si="22"/>
        <v>3139422.2084615389</v>
      </c>
      <c r="L34" s="211">
        <f t="shared" si="22"/>
        <v>3139422.2084615389</v>
      </c>
      <c r="M34" s="211">
        <f t="shared" si="22"/>
        <v>3139422.2084615389</v>
      </c>
      <c r="N34" s="211">
        <f t="shared" si="22"/>
        <v>3139422.2084615389</v>
      </c>
      <c r="O34" s="211">
        <f t="shared" si="22"/>
        <v>3139422.2084615389</v>
      </c>
      <c r="P34" s="211">
        <f t="shared" si="22"/>
        <v>3139422.2084615389</v>
      </c>
      <c r="Q34" s="211">
        <f t="shared" si="22"/>
        <v>3139422.2084615389</v>
      </c>
      <c r="R34" s="211">
        <f t="shared" si="22"/>
        <v>3139422.2084615389</v>
      </c>
      <c r="S34" s="211">
        <f t="shared" si="22"/>
        <v>3139422.2084615389</v>
      </c>
      <c r="T34" s="211">
        <f t="shared" si="22"/>
        <v>3139422.2084615389</v>
      </c>
      <c r="U34" s="211">
        <f t="shared" si="22"/>
        <v>3139422.2084615389</v>
      </c>
      <c r="V34" s="211">
        <f t="shared" si="22"/>
        <v>3139422.2084615389</v>
      </c>
      <c r="W34" s="211">
        <f t="shared" si="22"/>
        <v>3139422.2084615389</v>
      </c>
      <c r="X34" s="211">
        <f t="shared" si="22"/>
        <v>3139422.2084615389</v>
      </c>
      <c r="Y34" s="211">
        <f t="shared" si="22"/>
        <v>3139422.2084615389</v>
      </c>
      <c r="Z34" s="211">
        <f t="shared" si="22"/>
        <v>3139422.2084615389</v>
      </c>
      <c r="AA34" s="211">
        <f t="shared" si="22"/>
        <v>3139422.2084615389</v>
      </c>
      <c r="AB34" s="211">
        <f t="shared" si="22"/>
        <v>3139422.2084615389</v>
      </c>
      <c r="AC34" s="211">
        <f t="shared" si="22"/>
        <v>3139422.2084615389</v>
      </c>
      <c r="AD34" s="211">
        <f t="shared" si="22"/>
        <v>3139422.2084615389</v>
      </c>
      <c r="AE34" s="211">
        <f t="shared" si="22"/>
        <v>3139422.2084615389</v>
      </c>
      <c r="AF34" s="211">
        <f t="shared" si="22"/>
        <v>3139422.2084615389</v>
      </c>
      <c r="AG34" s="211">
        <f t="shared" si="22"/>
        <v>3139422.2084615389</v>
      </c>
    </row>
    <row r="37" spans="2:33" x14ac:dyDescent="0.2">
      <c r="C37" s="17"/>
      <c r="D37" s="17" t="s">
        <v>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2:33" x14ac:dyDescent="0.2">
      <c r="B38" s="143" t="s">
        <v>120</v>
      </c>
      <c r="C38" s="143"/>
      <c r="D38" s="17">
        <v>1</v>
      </c>
      <c r="E38" s="17">
        <v>2</v>
      </c>
      <c r="F38" s="17">
        <v>3</v>
      </c>
      <c r="G38" s="17">
        <v>4</v>
      </c>
      <c r="H38" s="17">
        <v>5</v>
      </c>
      <c r="I38" s="17">
        <v>6</v>
      </c>
      <c r="J38" s="17">
        <v>7</v>
      </c>
      <c r="K38" s="17">
        <v>8</v>
      </c>
      <c r="L38" s="17">
        <v>9</v>
      </c>
      <c r="M38" s="17">
        <v>10</v>
      </c>
      <c r="N38" s="17">
        <v>11</v>
      </c>
      <c r="O38" s="17">
        <v>12</v>
      </c>
      <c r="P38" s="17">
        <v>13</v>
      </c>
      <c r="Q38" s="17">
        <v>14</v>
      </c>
      <c r="R38" s="17">
        <v>15</v>
      </c>
      <c r="S38" s="17">
        <v>16</v>
      </c>
      <c r="T38" s="17">
        <v>17</v>
      </c>
      <c r="U38" s="17">
        <v>18</v>
      </c>
      <c r="V38" s="17">
        <v>19</v>
      </c>
      <c r="W38" s="17">
        <v>20</v>
      </c>
      <c r="X38" s="17">
        <v>21</v>
      </c>
      <c r="Y38" s="17">
        <v>22</v>
      </c>
      <c r="Z38" s="17">
        <v>23</v>
      </c>
      <c r="AA38" s="17">
        <v>24</v>
      </c>
      <c r="AB38" s="17">
        <v>25</v>
      </c>
      <c r="AC38" s="17">
        <v>26</v>
      </c>
      <c r="AD38" s="17">
        <v>27</v>
      </c>
      <c r="AE38" s="17">
        <v>28</v>
      </c>
      <c r="AF38" s="17">
        <v>29</v>
      </c>
      <c r="AG38" s="17">
        <v>30</v>
      </c>
    </row>
    <row r="39" spans="2:33" x14ac:dyDescent="0.2">
      <c r="B39" s="214" t="s">
        <v>34</v>
      </c>
      <c r="C39" s="214" t="s">
        <v>8</v>
      </c>
      <c r="D39" s="215">
        <f t="shared" ref="D39:AG39" si="24">D6</f>
        <v>2022</v>
      </c>
      <c r="E39" s="215">
        <f t="shared" si="24"/>
        <v>2023</v>
      </c>
      <c r="F39" s="215">
        <f t="shared" si="24"/>
        <v>2024</v>
      </c>
      <c r="G39" s="215">
        <f t="shared" si="24"/>
        <v>2025</v>
      </c>
      <c r="H39" s="215">
        <f t="shared" si="24"/>
        <v>2026</v>
      </c>
      <c r="I39" s="215">
        <f t="shared" si="24"/>
        <v>2027</v>
      </c>
      <c r="J39" s="215">
        <f t="shared" si="24"/>
        <v>2028</v>
      </c>
      <c r="K39" s="215">
        <f t="shared" si="24"/>
        <v>2029</v>
      </c>
      <c r="L39" s="215">
        <f t="shared" si="24"/>
        <v>2030</v>
      </c>
      <c r="M39" s="215">
        <f t="shared" si="24"/>
        <v>2031</v>
      </c>
      <c r="N39" s="215">
        <f t="shared" si="24"/>
        <v>2032</v>
      </c>
      <c r="O39" s="215">
        <f t="shared" si="24"/>
        <v>2033</v>
      </c>
      <c r="P39" s="215">
        <f t="shared" si="24"/>
        <v>2034</v>
      </c>
      <c r="Q39" s="215">
        <f t="shared" si="24"/>
        <v>2035</v>
      </c>
      <c r="R39" s="215">
        <f t="shared" si="24"/>
        <v>2036</v>
      </c>
      <c r="S39" s="215">
        <f t="shared" si="24"/>
        <v>2037</v>
      </c>
      <c r="T39" s="215">
        <f t="shared" si="24"/>
        <v>2038</v>
      </c>
      <c r="U39" s="215">
        <f t="shared" si="24"/>
        <v>2039</v>
      </c>
      <c r="V39" s="215">
        <f t="shared" si="24"/>
        <v>2040</v>
      </c>
      <c r="W39" s="215">
        <f t="shared" si="24"/>
        <v>2041</v>
      </c>
      <c r="X39" s="215">
        <f t="shared" si="24"/>
        <v>2042</v>
      </c>
      <c r="Y39" s="215">
        <f t="shared" si="24"/>
        <v>2043</v>
      </c>
      <c r="Z39" s="215">
        <f t="shared" si="24"/>
        <v>2044</v>
      </c>
      <c r="AA39" s="215">
        <f t="shared" si="24"/>
        <v>2045</v>
      </c>
      <c r="AB39" s="215">
        <f t="shared" si="24"/>
        <v>2046</v>
      </c>
      <c r="AC39" s="215">
        <f t="shared" si="24"/>
        <v>2047</v>
      </c>
      <c r="AD39" s="215">
        <f t="shared" si="24"/>
        <v>2048</v>
      </c>
      <c r="AE39" s="215">
        <f t="shared" si="24"/>
        <v>2049</v>
      </c>
      <c r="AF39" s="215">
        <f t="shared" si="24"/>
        <v>2050</v>
      </c>
      <c r="AG39" s="215">
        <f t="shared" si="24"/>
        <v>2051</v>
      </c>
    </row>
    <row r="40" spans="2:33" x14ac:dyDescent="0.2">
      <c r="B40" s="17" t="s">
        <v>11</v>
      </c>
      <c r="C40" s="205">
        <f t="shared" ref="C40:C45" si="25">SUM(D40:AG40)</f>
        <v>84764399.628461584</v>
      </c>
      <c r="D40" s="163">
        <f>D29*Parametre!$C$37</f>
        <v>2825479.9876153851</v>
      </c>
      <c r="E40" s="163">
        <f>E29*Parametre!$C$37</f>
        <v>2825479.9876153851</v>
      </c>
      <c r="F40" s="163">
        <f>F29*Parametre!$C$37</f>
        <v>2825479.9876153851</v>
      </c>
      <c r="G40" s="163">
        <f>G29*Parametre!$C$37</f>
        <v>2825479.9876153851</v>
      </c>
      <c r="H40" s="163">
        <f>H29*Parametre!$C$37</f>
        <v>2825479.9876153851</v>
      </c>
      <c r="I40" s="163">
        <f>I29*Parametre!$C$37</f>
        <v>2825479.9876153851</v>
      </c>
      <c r="J40" s="163">
        <f>J29*Parametre!$C$37</f>
        <v>2825479.9876153851</v>
      </c>
      <c r="K40" s="163">
        <f>K29*Parametre!$C$37</f>
        <v>2825479.9876153851</v>
      </c>
      <c r="L40" s="163">
        <f>L29*Parametre!$C$37</f>
        <v>2825479.9876153851</v>
      </c>
      <c r="M40" s="163">
        <f>M29*Parametre!$C$37</f>
        <v>2825479.9876153851</v>
      </c>
      <c r="N40" s="163">
        <f>N29*Parametre!$C$37</f>
        <v>2825479.9876153851</v>
      </c>
      <c r="O40" s="163">
        <f>O29*Parametre!$C$37</f>
        <v>2825479.9876153851</v>
      </c>
      <c r="P40" s="163">
        <f>P29*Parametre!$C$37</f>
        <v>2825479.9876153851</v>
      </c>
      <c r="Q40" s="163">
        <f>Q29*Parametre!$C$37</f>
        <v>2825479.9876153851</v>
      </c>
      <c r="R40" s="163">
        <f>R29*Parametre!$C$37</f>
        <v>2825479.9876153851</v>
      </c>
      <c r="S40" s="163">
        <f>S29*Parametre!$C$37</f>
        <v>2825479.9876153851</v>
      </c>
      <c r="T40" s="163">
        <f>T29*Parametre!$C$37</f>
        <v>2825479.9876153851</v>
      </c>
      <c r="U40" s="163">
        <f>U29*Parametre!$C$37</f>
        <v>2825479.9876153851</v>
      </c>
      <c r="V40" s="163">
        <f>V29*Parametre!$C$37</f>
        <v>2825479.9876153851</v>
      </c>
      <c r="W40" s="163">
        <f>W29*Parametre!$C$37</f>
        <v>2825479.9876153851</v>
      </c>
      <c r="X40" s="163">
        <f>X29*Parametre!$C$37</f>
        <v>2825479.9876153851</v>
      </c>
      <c r="Y40" s="163">
        <f>Y29*Parametre!$C$37</f>
        <v>2825479.9876153851</v>
      </c>
      <c r="Z40" s="163">
        <f>Z29*Parametre!$C$37</f>
        <v>2825479.9876153851</v>
      </c>
      <c r="AA40" s="163">
        <f>AA29*Parametre!$C$37</f>
        <v>2825479.9876153851</v>
      </c>
      <c r="AB40" s="163">
        <f>AB29*Parametre!$C$37</f>
        <v>2825479.9876153851</v>
      </c>
      <c r="AC40" s="163">
        <f>AC29*Parametre!$C$37</f>
        <v>2825479.9876153851</v>
      </c>
      <c r="AD40" s="163">
        <f>AD29*Parametre!$C$37</f>
        <v>2825479.9876153851</v>
      </c>
      <c r="AE40" s="163">
        <f>AE29*Parametre!$C$37</f>
        <v>2825479.9876153851</v>
      </c>
      <c r="AF40" s="163">
        <f>AF29*Parametre!$C$37</f>
        <v>2825479.9876153851</v>
      </c>
      <c r="AG40" s="163">
        <f>AG29*Parametre!$C$37</f>
        <v>2825479.9876153851</v>
      </c>
    </row>
    <row r="41" spans="2:33" x14ac:dyDescent="0.2">
      <c r="B41" s="17" t="s">
        <v>26</v>
      </c>
      <c r="C41" s="205">
        <f t="shared" si="25"/>
        <v>0</v>
      </c>
      <c r="D41" s="163">
        <f>D30*Parametre!$C$37</f>
        <v>0</v>
      </c>
      <c r="E41" s="163">
        <f>E30*Parametre!$C$37</f>
        <v>0</v>
      </c>
      <c r="F41" s="163">
        <f>F30*Parametre!$C$37</f>
        <v>0</v>
      </c>
      <c r="G41" s="163">
        <f>G30*Parametre!$C$37</f>
        <v>0</v>
      </c>
      <c r="H41" s="163">
        <f>H30*Parametre!$C$37</f>
        <v>0</v>
      </c>
      <c r="I41" s="163">
        <f>I30*Parametre!$C$37</f>
        <v>0</v>
      </c>
      <c r="J41" s="163">
        <f>J30*Parametre!$C$37</f>
        <v>0</v>
      </c>
      <c r="K41" s="163">
        <f>K30*Parametre!$C$37</f>
        <v>0</v>
      </c>
      <c r="L41" s="163">
        <f>L30*Parametre!$C$37</f>
        <v>0</v>
      </c>
      <c r="M41" s="163">
        <f>M30*Parametre!$C$37</f>
        <v>0</v>
      </c>
      <c r="N41" s="163">
        <f>N30*Parametre!$C$37</f>
        <v>0</v>
      </c>
      <c r="O41" s="163">
        <f>O30*Parametre!$C$37</f>
        <v>0</v>
      </c>
      <c r="P41" s="163">
        <f>P30*Parametre!$C$37</f>
        <v>0</v>
      </c>
      <c r="Q41" s="163">
        <f>Q30*Parametre!$C$37</f>
        <v>0</v>
      </c>
      <c r="R41" s="163">
        <f>R30*Parametre!$C$37</f>
        <v>0</v>
      </c>
      <c r="S41" s="163">
        <f>S30*Parametre!$C$37</f>
        <v>0</v>
      </c>
      <c r="T41" s="163">
        <f>T30*Parametre!$C$37</f>
        <v>0</v>
      </c>
      <c r="U41" s="163">
        <f>U30*Parametre!$C$37</f>
        <v>0</v>
      </c>
      <c r="V41" s="163">
        <f>V30*Parametre!$C$37</f>
        <v>0</v>
      </c>
      <c r="W41" s="163">
        <f>W30*Parametre!$C$37</f>
        <v>0</v>
      </c>
      <c r="X41" s="163">
        <f>X30*Parametre!$C$37</f>
        <v>0</v>
      </c>
      <c r="Y41" s="163">
        <f>Y30*Parametre!$C$37</f>
        <v>0</v>
      </c>
      <c r="Z41" s="163">
        <f>Z30*Parametre!$C$37</f>
        <v>0</v>
      </c>
      <c r="AA41" s="163">
        <f>AA30*Parametre!$C$37</f>
        <v>0</v>
      </c>
      <c r="AB41" s="163">
        <f>AB30*Parametre!$C$37</f>
        <v>0</v>
      </c>
      <c r="AC41" s="163">
        <f>AC30*Parametre!$C$37</f>
        <v>0</v>
      </c>
      <c r="AD41" s="163">
        <f>AD30*Parametre!$C$37</f>
        <v>0</v>
      </c>
      <c r="AE41" s="163">
        <f>AE30*Parametre!$C$37</f>
        <v>0</v>
      </c>
      <c r="AF41" s="163">
        <f>AF30*Parametre!$C$37</f>
        <v>0</v>
      </c>
      <c r="AG41" s="163">
        <f>AG30*Parametre!$C$37</f>
        <v>0</v>
      </c>
    </row>
    <row r="42" spans="2:33" x14ac:dyDescent="0.2">
      <c r="B42" s="143" t="s">
        <v>176</v>
      </c>
      <c r="C42" s="207">
        <f t="shared" si="25"/>
        <v>84764399.628461584</v>
      </c>
      <c r="D42" s="207">
        <f t="shared" ref="D42:AG42" si="26">SUM(D40:D41)</f>
        <v>2825479.9876153851</v>
      </c>
      <c r="E42" s="207">
        <f t="shared" si="26"/>
        <v>2825479.9876153851</v>
      </c>
      <c r="F42" s="207">
        <f t="shared" si="26"/>
        <v>2825479.9876153851</v>
      </c>
      <c r="G42" s="207">
        <f t="shared" si="26"/>
        <v>2825479.9876153851</v>
      </c>
      <c r="H42" s="207">
        <f t="shared" si="26"/>
        <v>2825479.9876153851</v>
      </c>
      <c r="I42" s="207">
        <f t="shared" si="26"/>
        <v>2825479.9876153851</v>
      </c>
      <c r="J42" s="207">
        <f t="shared" si="26"/>
        <v>2825479.9876153851</v>
      </c>
      <c r="K42" s="207">
        <f t="shared" si="26"/>
        <v>2825479.9876153851</v>
      </c>
      <c r="L42" s="207">
        <f t="shared" si="26"/>
        <v>2825479.9876153851</v>
      </c>
      <c r="M42" s="207">
        <f t="shared" si="26"/>
        <v>2825479.9876153851</v>
      </c>
      <c r="N42" s="207">
        <f t="shared" si="26"/>
        <v>2825479.9876153851</v>
      </c>
      <c r="O42" s="207">
        <f t="shared" si="26"/>
        <v>2825479.9876153851</v>
      </c>
      <c r="P42" s="207">
        <f t="shared" si="26"/>
        <v>2825479.9876153851</v>
      </c>
      <c r="Q42" s="207">
        <f t="shared" si="26"/>
        <v>2825479.9876153851</v>
      </c>
      <c r="R42" s="207">
        <f t="shared" si="26"/>
        <v>2825479.9876153851</v>
      </c>
      <c r="S42" s="207">
        <f t="shared" si="26"/>
        <v>2825479.9876153851</v>
      </c>
      <c r="T42" s="207">
        <f t="shared" si="26"/>
        <v>2825479.9876153851</v>
      </c>
      <c r="U42" s="207">
        <f t="shared" si="26"/>
        <v>2825479.9876153851</v>
      </c>
      <c r="V42" s="207">
        <f t="shared" si="26"/>
        <v>2825479.9876153851</v>
      </c>
      <c r="W42" s="207">
        <f t="shared" si="26"/>
        <v>2825479.9876153851</v>
      </c>
      <c r="X42" s="207">
        <f t="shared" si="26"/>
        <v>2825479.9876153851</v>
      </c>
      <c r="Y42" s="207">
        <f t="shared" si="26"/>
        <v>2825479.9876153851</v>
      </c>
      <c r="Z42" s="207">
        <f t="shared" si="26"/>
        <v>2825479.9876153851</v>
      </c>
      <c r="AA42" s="207">
        <f t="shared" si="26"/>
        <v>2825479.9876153851</v>
      </c>
      <c r="AB42" s="207">
        <f t="shared" si="26"/>
        <v>2825479.9876153851</v>
      </c>
      <c r="AC42" s="207">
        <f t="shared" si="26"/>
        <v>2825479.9876153851</v>
      </c>
      <c r="AD42" s="207">
        <f t="shared" si="26"/>
        <v>2825479.9876153851</v>
      </c>
      <c r="AE42" s="207">
        <f t="shared" si="26"/>
        <v>2825479.9876153851</v>
      </c>
      <c r="AF42" s="207">
        <f t="shared" si="26"/>
        <v>2825479.9876153851</v>
      </c>
      <c r="AG42" s="207">
        <f t="shared" si="26"/>
        <v>2825479.9876153851</v>
      </c>
    </row>
    <row r="43" spans="2:33" x14ac:dyDescent="0.2">
      <c r="B43" s="164" t="s">
        <v>121</v>
      </c>
      <c r="C43" s="205">
        <f t="shared" si="25"/>
        <v>70901.388000000006</v>
      </c>
      <c r="D43" s="163">
        <f>D32*Parametre!$C$37</f>
        <v>70901.388000000006</v>
      </c>
      <c r="E43" s="163">
        <f>E32*Parametre!$C$37</f>
        <v>0</v>
      </c>
      <c r="F43" s="163">
        <f>F32*Parametre!$C$37</f>
        <v>0</v>
      </c>
      <c r="G43" s="163">
        <f>G32*Parametre!$C$37</f>
        <v>0</v>
      </c>
      <c r="H43" s="163">
        <f>H32*Parametre!$C$37</f>
        <v>0</v>
      </c>
      <c r="I43" s="163">
        <f>I32*Parametre!$C$37</f>
        <v>0</v>
      </c>
      <c r="J43" s="163">
        <f>J32*Parametre!$C$37</f>
        <v>0</v>
      </c>
      <c r="K43" s="163">
        <f>K32*Parametre!$C$37</f>
        <v>0</v>
      </c>
      <c r="L43" s="163">
        <f>L32*Parametre!$C$37</f>
        <v>0</v>
      </c>
      <c r="M43" s="163">
        <f>M32*Parametre!$C$37</f>
        <v>0</v>
      </c>
      <c r="N43" s="163">
        <f>N32*Parametre!$C$37</f>
        <v>0</v>
      </c>
      <c r="O43" s="163">
        <f>O32*Parametre!$C$37</f>
        <v>0</v>
      </c>
      <c r="P43" s="163">
        <f>P32*Parametre!$C$37</f>
        <v>0</v>
      </c>
      <c r="Q43" s="163">
        <f>Q32*Parametre!$C$37</f>
        <v>0</v>
      </c>
      <c r="R43" s="163">
        <f>R32*Parametre!$C$37</f>
        <v>0</v>
      </c>
      <c r="S43" s="163">
        <f>S32*Parametre!$C$37</f>
        <v>0</v>
      </c>
      <c r="T43" s="163">
        <f>T32*Parametre!$C$37</f>
        <v>0</v>
      </c>
      <c r="U43" s="163">
        <f>U32*Parametre!$C$37</f>
        <v>0</v>
      </c>
      <c r="V43" s="163">
        <f>V32*Parametre!$C$37</f>
        <v>0</v>
      </c>
      <c r="W43" s="163">
        <f>W32*Parametre!$C$37</f>
        <v>0</v>
      </c>
      <c r="X43" s="163">
        <f>X32*Parametre!$C$37</f>
        <v>0</v>
      </c>
      <c r="Y43" s="163">
        <f>Y32*Parametre!$C$37</f>
        <v>0</v>
      </c>
      <c r="Z43" s="163">
        <f>Z32*Parametre!$C$37</f>
        <v>0</v>
      </c>
      <c r="AA43" s="163">
        <f>AA32*Parametre!$C$37</f>
        <v>0</v>
      </c>
      <c r="AB43" s="163">
        <f>AB32*Parametre!$C$37</f>
        <v>0</v>
      </c>
      <c r="AC43" s="163">
        <f>AC32*Parametre!$C$37</f>
        <v>0</v>
      </c>
      <c r="AD43" s="163">
        <f>AD32*Parametre!$C$37</f>
        <v>0</v>
      </c>
      <c r="AE43" s="163">
        <f>AE32*Parametre!$C$37</f>
        <v>0</v>
      </c>
      <c r="AF43" s="163">
        <f>AF32*Parametre!$C$37</f>
        <v>0</v>
      </c>
      <c r="AG43" s="163">
        <f>AG32*Parametre!$C$37</f>
        <v>0</v>
      </c>
    </row>
    <row r="44" spans="2:33" ht="12" thickBot="1" x14ac:dyDescent="0.25">
      <c r="B44" s="208" t="s">
        <v>122</v>
      </c>
      <c r="C44" s="209">
        <f t="shared" si="25"/>
        <v>70901.388000000006</v>
      </c>
      <c r="D44" s="209">
        <f t="shared" ref="D44:AG44" si="27">SUM(D43:D43)</f>
        <v>70901.388000000006</v>
      </c>
      <c r="E44" s="209">
        <f t="shared" si="27"/>
        <v>0</v>
      </c>
      <c r="F44" s="209">
        <f t="shared" si="27"/>
        <v>0</v>
      </c>
      <c r="G44" s="209">
        <f t="shared" si="27"/>
        <v>0</v>
      </c>
      <c r="H44" s="209">
        <f t="shared" si="27"/>
        <v>0</v>
      </c>
      <c r="I44" s="209">
        <f t="shared" si="27"/>
        <v>0</v>
      </c>
      <c r="J44" s="209">
        <f t="shared" si="27"/>
        <v>0</v>
      </c>
      <c r="K44" s="209">
        <f t="shared" si="27"/>
        <v>0</v>
      </c>
      <c r="L44" s="209">
        <f t="shared" si="27"/>
        <v>0</v>
      </c>
      <c r="M44" s="209">
        <f t="shared" si="27"/>
        <v>0</v>
      </c>
      <c r="N44" s="209">
        <f t="shared" si="27"/>
        <v>0</v>
      </c>
      <c r="O44" s="209">
        <f t="shared" si="27"/>
        <v>0</v>
      </c>
      <c r="P44" s="209">
        <f t="shared" si="27"/>
        <v>0</v>
      </c>
      <c r="Q44" s="209">
        <f t="shared" si="27"/>
        <v>0</v>
      </c>
      <c r="R44" s="209">
        <f t="shared" si="27"/>
        <v>0</v>
      </c>
      <c r="S44" s="209">
        <f t="shared" si="27"/>
        <v>0</v>
      </c>
      <c r="T44" s="209">
        <f t="shared" si="27"/>
        <v>0</v>
      </c>
      <c r="U44" s="209">
        <f t="shared" si="27"/>
        <v>0</v>
      </c>
      <c r="V44" s="209">
        <f t="shared" si="27"/>
        <v>0</v>
      </c>
      <c r="W44" s="209">
        <f t="shared" si="27"/>
        <v>0</v>
      </c>
      <c r="X44" s="209">
        <f t="shared" si="27"/>
        <v>0</v>
      </c>
      <c r="Y44" s="209">
        <f t="shared" si="27"/>
        <v>0</v>
      </c>
      <c r="Z44" s="209">
        <f t="shared" si="27"/>
        <v>0</v>
      </c>
      <c r="AA44" s="209">
        <f t="shared" si="27"/>
        <v>0</v>
      </c>
      <c r="AB44" s="209">
        <f t="shared" si="27"/>
        <v>0</v>
      </c>
      <c r="AC44" s="209">
        <f t="shared" si="27"/>
        <v>0</v>
      </c>
      <c r="AD44" s="209">
        <f t="shared" si="27"/>
        <v>0</v>
      </c>
      <c r="AE44" s="209">
        <f t="shared" si="27"/>
        <v>0</v>
      </c>
      <c r="AF44" s="209">
        <f t="shared" si="27"/>
        <v>0</v>
      </c>
      <c r="AG44" s="209">
        <f t="shared" si="27"/>
        <v>0</v>
      </c>
    </row>
    <row r="45" spans="2:33" ht="12" thickTop="1" x14ac:dyDescent="0.2">
      <c r="B45" s="210" t="s">
        <v>123</v>
      </c>
      <c r="C45" s="211">
        <f t="shared" si="25"/>
        <v>84835301.016461581</v>
      </c>
      <c r="D45" s="211">
        <f t="shared" ref="D45:AG45" si="28">SUM(D42,D44)</f>
        <v>2896381.3756153849</v>
      </c>
      <c r="E45" s="211">
        <f t="shared" si="28"/>
        <v>2825479.9876153851</v>
      </c>
      <c r="F45" s="211">
        <f>SUM(F42,F44)</f>
        <v>2825479.9876153851</v>
      </c>
      <c r="G45" s="211">
        <f t="shared" si="28"/>
        <v>2825479.9876153851</v>
      </c>
      <c r="H45" s="211">
        <f t="shared" si="28"/>
        <v>2825479.9876153851</v>
      </c>
      <c r="I45" s="211">
        <f t="shared" si="28"/>
        <v>2825479.9876153851</v>
      </c>
      <c r="J45" s="211">
        <f t="shared" si="28"/>
        <v>2825479.9876153851</v>
      </c>
      <c r="K45" s="211">
        <f t="shared" si="28"/>
        <v>2825479.9876153851</v>
      </c>
      <c r="L45" s="211">
        <f t="shared" si="28"/>
        <v>2825479.9876153851</v>
      </c>
      <c r="M45" s="211">
        <f t="shared" si="28"/>
        <v>2825479.9876153851</v>
      </c>
      <c r="N45" s="211">
        <f t="shared" si="28"/>
        <v>2825479.9876153851</v>
      </c>
      <c r="O45" s="211">
        <f t="shared" si="28"/>
        <v>2825479.9876153851</v>
      </c>
      <c r="P45" s="211">
        <f t="shared" si="28"/>
        <v>2825479.9876153851</v>
      </c>
      <c r="Q45" s="211">
        <f t="shared" si="28"/>
        <v>2825479.9876153851</v>
      </c>
      <c r="R45" s="211">
        <f t="shared" si="28"/>
        <v>2825479.9876153851</v>
      </c>
      <c r="S45" s="211">
        <f t="shared" si="28"/>
        <v>2825479.9876153851</v>
      </c>
      <c r="T45" s="211">
        <f t="shared" si="28"/>
        <v>2825479.9876153851</v>
      </c>
      <c r="U45" s="211">
        <f t="shared" si="28"/>
        <v>2825479.9876153851</v>
      </c>
      <c r="V45" s="211">
        <f t="shared" si="28"/>
        <v>2825479.9876153851</v>
      </c>
      <c r="W45" s="211">
        <f t="shared" si="28"/>
        <v>2825479.9876153851</v>
      </c>
      <c r="X45" s="211">
        <f t="shared" si="28"/>
        <v>2825479.9876153851</v>
      </c>
      <c r="Y45" s="211">
        <f t="shared" si="28"/>
        <v>2825479.9876153851</v>
      </c>
      <c r="Z45" s="211">
        <f t="shared" si="28"/>
        <v>2825479.9876153851</v>
      </c>
      <c r="AA45" s="211">
        <f t="shared" si="28"/>
        <v>2825479.9876153851</v>
      </c>
      <c r="AB45" s="211">
        <f t="shared" si="28"/>
        <v>2825479.9876153851</v>
      </c>
      <c r="AC45" s="211">
        <f t="shared" si="28"/>
        <v>2825479.9876153851</v>
      </c>
      <c r="AD45" s="211">
        <f t="shared" si="28"/>
        <v>2825479.9876153851</v>
      </c>
      <c r="AE45" s="211">
        <f t="shared" si="28"/>
        <v>2825479.9876153851</v>
      </c>
      <c r="AF45" s="211">
        <f t="shared" si="28"/>
        <v>2825479.9876153851</v>
      </c>
      <c r="AG45" s="211">
        <f t="shared" si="28"/>
        <v>2825479.9876153851</v>
      </c>
    </row>
    <row r="47" spans="2:33" x14ac:dyDescent="0.2">
      <c r="B47" s="1" t="s">
        <v>108</v>
      </c>
    </row>
    <row r="48" spans="2:33" x14ac:dyDescent="0.2">
      <c r="B48" s="1" t="s">
        <v>109</v>
      </c>
    </row>
    <row r="52" spans="7:7" x14ac:dyDescent="0.2">
      <c r="G52" s="216"/>
    </row>
  </sheetData>
  <sheetProtection algorithmName="SHA-512" hashValue="IaSxYElQcu9joQRx6XfS6oit3zpHQ6T0eKUw96MiXMwsNGRZwNOiIy44pvSB1nSvrEjzEq0U3w3U39YgraMWqQ==" saltValue="3hdUxBp3CsUtN/E0O2exqA==" spinCount="100000" sheet="1" objects="1" scenarios="1" selectLockedCells="1"/>
  <phoneticPr fontId="9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20 D9" formulaRange="1"/>
    <ignoredError sqref="D31:E31 D42:AG42 I31:AG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5"/>
  <sheetViews>
    <sheetView zoomScaleNormal="100" workbookViewId="0">
      <selection activeCell="O51" sqref="O51"/>
    </sheetView>
  </sheetViews>
  <sheetFormatPr defaultColWidth="9.140625" defaultRowHeight="11.25" x14ac:dyDescent="0.2"/>
  <cols>
    <col min="1" max="1" width="2.7109375" style="1" customWidth="1"/>
    <col min="2" max="2" width="22.7109375" style="1" customWidth="1"/>
    <col min="3" max="3" width="10.7109375" style="1" customWidth="1"/>
    <col min="4" max="33" width="6.7109375" style="1" customWidth="1"/>
    <col min="34" max="16384" width="9.140625" style="1"/>
  </cols>
  <sheetData>
    <row r="2" spans="1:33" ht="12.75" x14ac:dyDescent="0.2">
      <c r="A2" s="121" t="s">
        <v>386</v>
      </c>
    </row>
    <row r="4" spans="1:33" x14ac:dyDescent="0.2">
      <c r="B4" s="17"/>
      <c r="C4" s="17"/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x14ac:dyDescent="0.2">
      <c r="B5" s="143" t="s">
        <v>130</v>
      </c>
      <c r="C5" s="143"/>
      <c r="D5" s="129">
        <v>1</v>
      </c>
      <c r="E5" s="129">
        <v>2</v>
      </c>
      <c r="F5" s="129">
        <v>3</v>
      </c>
      <c r="G5" s="129">
        <v>4</v>
      </c>
      <c r="H5" s="129">
        <v>5</v>
      </c>
      <c r="I5" s="129">
        <v>6</v>
      </c>
      <c r="J5" s="129">
        <v>7</v>
      </c>
      <c r="K5" s="129">
        <v>8</v>
      </c>
      <c r="L5" s="129">
        <v>9</v>
      </c>
      <c r="M5" s="129">
        <v>10</v>
      </c>
      <c r="N5" s="129">
        <v>11</v>
      </c>
      <c r="O5" s="129">
        <v>12</v>
      </c>
      <c r="P5" s="129">
        <v>13</v>
      </c>
      <c r="Q5" s="129">
        <v>14</v>
      </c>
      <c r="R5" s="129">
        <v>15</v>
      </c>
      <c r="S5" s="129">
        <v>16</v>
      </c>
      <c r="T5" s="129">
        <v>17</v>
      </c>
      <c r="U5" s="129">
        <v>18</v>
      </c>
      <c r="V5" s="129">
        <v>19</v>
      </c>
      <c r="W5" s="129">
        <v>20</v>
      </c>
      <c r="X5" s="129">
        <v>21</v>
      </c>
      <c r="Y5" s="129">
        <v>22</v>
      </c>
      <c r="Z5" s="129">
        <v>23</v>
      </c>
      <c r="AA5" s="129">
        <v>24</v>
      </c>
      <c r="AB5" s="129">
        <v>25</v>
      </c>
      <c r="AC5" s="129">
        <v>26</v>
      </c>
      <c r="AD5" s="129">
        <v>27</v>
      </c>
      <c r="AE5" s="129">
        <v>28</v>
      </c>
      <c r="AF5" s="129">
        <v>29</v>
      </c>
      <c r="AG5" s="129">
        <v>30</v>
      </c>
    </row>
    <row r="6" spans="1:33" x14ac:dyDescent="0.2">
      <c r="B6" s="144" t="s">
        <v>25</v>
      </c>
      <c r="C6" s="144" t="s">
        <v>8</v>
      </c>
      <c r="D6" s="132">
        <f>Parametre!C13</f>
        <v>2022</v>
      </c>
      <c r="E6" s="132">
        <f>$D$6+D5</f>
        <v>2023</v>
      </c>
      <c r="F6" s="132">
        <f>$D$6+E5</f>
        <v>2024</v>
      </c>
      <c r="G6" s="132">
        <f t="shared" ref="G6:AG6" si="0">$D$6+F5</f>
        <v>2025</v>
      </c>
      <c r="H6" s="132">
        <f t="shared" si="0"/>
        <v>2026</v>
      </c>
      <c r="I6" s="132">
        <f t="shared" si="0"/>
        <v>2027</v>
      </c>
      <c r="J6" s="132">
        <f t="shared" si="0"/>
        <v>2028</v>
      </c>
      <c r="K6" s="132">
        <f t="shared" si="0"/>
        <v>2029</v>
      </c>
      <c r="L6" s="132">
        <f t="shared" si="0"/>
        <v>2030</v>
      </c>
      <c r="M6" s="132">
        <f t="shared" si="0"/>
        <v>2031</v>
      </c>
      <c r="N6" s="132">
        <f t="shared" si="0"/>
        <v>2032</v>
      </c>
      <c r="O6" s="132">
        <f t="shared" si="0"/>
        <v>2033</v>
      </c>
      <c r="P6" s="132">
        <f t="shared" si="0"/>
        <v>2034</v>
      </c>
      <c r="Q6" s="132">
        <f t="shared" si="0"/>
        <v>2035</v>
      </c>
      <c r="R6" s="132">
        <f t="shared" si="0"/>
        <v>2036</v>
      </c>
      <c r="S6" s="132">
        <f t="shared" si="0"/>
        <v>2037</v>
      </c>
      <c r="T6" s="132">
        <f t="shared" si="0"/>
        <v>2038</v>
      </c>
      <c r="U6" s="132">
        <f t="shared" si="0"/>
        <v>2039</v>
      </c>
      <c r="V6" s="132">
        <f t="shared" si="0"/>
        <v>2040</v>
      </c>
      <c r="W6" s="132">
        <f t="shared" si="0"/>
        <v>2041</v>
      </c>
      <c r="X6" s="132">
        <f t="shared" si="0"/>
        <v>2042</v>
      </c>
      <c r="Y6" s="132">
        <f t="shared" si="0"/>
        <v>2043</v>
      </c>
      <c r="Z6" s="132">
        <f t="shared" si="0"/>
        <v>2044</v>
      </c>
      <c r="AA6" s="132">
        <f t="shared" si="0"/>
        <v>2045</v>
      </c>
      <c r="AB6" s="132">
        <f t="shared" si="0"/>
        <v>2046</v>
      </c>
      <c r="AC6" s="132">
        <f t="shared" si="0"/>
        <v>2047</v>
      </c>
      <c r="AD6" s="132">
        <f t="shared" si="0"/>
        <v>2048</v>
      </c>
      <c r="AE6" s="132">
        <f t="shared" si="0"/>
        <v>2049</v>
      </c>
      <c r="AF6" s="132">
        <f t="shared" si="0"/>
        <v>2050</v>
      </c>
      <c r="AG6" s="132">
        <f t="shared" si="0"/>
        <v>2051</v>
      </c>
    </row>
    <row r="7" spans="1:33" x14ac:dyDescent="0.2">
      <c r="B7" s="17" t="s">
        <v>174</v>
      </c>
      <c r="C7" s="205">
        <f>SUM(D7:AG7)</f>
        <v>0</v>
      </c>
      <c r="D7" s="206">
        <v>0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  <c r="M7" s="206">
        <v>0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</row>
    <row r="8" spans="1:33" x14ac:dyDescent="0.2">
      <c r="B8" s="17" t="s">
        <v>49</v>
      </c>
      <c r="C8" s="205">
        <f>SUM(D8:AG8)</f>
        <v>0</v>
      </c>
      <c r="D8" s="206">
        <v>0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0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</row>
    <row r="9" spans="1:33" x14ac:dyDescent="0.2">
      <c r="B9" s="143" t="s">
        <v>10</v>
      </c>
      <c r="C9" s="207">
        <f>SUM(D9:AG9)</f>
        <v>0</v>
      </c>
      <c r="D9" s="207">
        <f>SUM(D7:D8)</f>
        <v>0</v>
      </c>
      <c r="E9" s="207">
        <f t="shared" ref="E9:AG9" si="1">SUM(E7:E8)</f>
        <v>0</v>
      </c>
      <c r="F9" s="207">
        <f t="shared" si="1"/>
        <v>0</v>
      </c>
      <c r="G9" s="207">
        <f t="shared" si="1"/>
        <v>0</v>
      </c>
      <c r="H9" s="207">
        <f t="shared" si="1"/>
        <v>0</v>
      </c>
      <c r="I9" s="207">
        <f t="shared" si="1"/>
        <v>0</v>
      </c>
      <c r="J9" s="207">
        <f t="shared" si="1"/>
        <v>0</v>
      </c>
      <c r="K9" s="207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207">
        <f t="shared" si="1"/>
        <v>0</v>
      </c>
      <c r="P9" s="207">
        <f t="shared" si="1"/>
        <v>0</v>
      </c>
      <c r="Q9" s="207">
        <f t="shared" si="1"/>
        <v>0</v>
      </c>
      <c r="R9" s="207">
        <f t="shared" si="1"/>
        <v>0</v>
      </c>
      <c r="S9" s="207">
        <f t="shared" si="1"/>
        <v>0</v>
      </c>
      <c r="T9" s="207">
        <f t="shared" si="1"/>
        <v>0</v>
      </c>
      <c r="U9" s="207">
        <f t="shared" si="1"/>
        <v>0</v>
      </c>
      <c r="V9" s="207">
        <f t="shared" si="1"/>
        <v>0</v>
      </c>
      <c r="W9" s="207">
        <f t="shared" si="1"/>
        <v>0</v>
      </c>
      <c r="X9" s="207">
        <f t="shared" si="1"/>
        <v>0</v>
      </c>
      <c r="Y9" s="207">
        <f t="shared" si="1"/>
        <v>0</v>
      </c>
      <c r="Z9" s="207">
        <f t="shared" si="1"/>
        <v>0</v>
      </c>
      <c r="AA9" s="207">
        <f t="shared" si="1"/>
        <v>0</v>
      </c>
      <c r="AB9" s="207">
        <f t="shared" si="1"/>
        <v>0</v>
      </c>
      <c r="AC9" s="207">
        <f t="shared" si="1"/>
        <v>0</v>
      </c>
      <c r="AD9" s="207">
        <f t="shared" si="1"/>
        <v>0</v>
      </c>
      <c r="AE9" s="207">
        <f t="shared" si="1"/>
        <v>0</v>
      </c>
      <c r="AF9" s="207">
        <f t="shared" si="1"/>
        <v>0</v>
      </c>
      <c r="AG9" s="207">
        <f t="shared" si="1"/>
        <v>0</v>
      </c>
    </row>
    <row r="12" spans="1:33" x14ac:dyDescent="0.2">
      <c r="B12" s="17"/>
      <c r="C12" s="17"/>
      <c r="D12" s="17" t="s">
        <v>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x14ac:dyDescent="0.2">
      <c r="B13" s="143" t="s">
        <v>131</v>
      </c>
      <c r="C13" s="143"/>
      <c r="D13" s="17">
        <v>1</v>
      </c>
      <c r="E13" s="17">
        <v>2</v>
      </c>
      <c r="F13" s="17">
        <v>3</v>
      </c>
      <c r="G13" s="17">
        <v>4</v>
      </c>
      <c r="H13" s="17">
        <v>5</v>
      </c>
      <c r="I13" s="17">
        <v>6</v>
      </c>
      <c r="J13" s="17">
        <v>7</v>
      </c>
      <c r="K13" s="17">
        <v>8</v>
      </c>
      <c r="L13" s="17">
        <v>9</v>
      </c>
      <c r="M13" s="17">
        <v>10</v>
      </c>
      <c r="N13" s="17">
        <v>11</v>
      </c>
      <c r="O13" s="17">
        <v>12</v>
      </c>
      <c r="P13" s="17">
        <v>13</v>
      </c>
      <c r="Q13" s="17">
        <v>14</v>
      </c>
      <c r="R13" s="17">
        <v>15</v>
      </c>
      <c r="S13" s="17">
        <v>16</v>
      </c>
      <c r="T13" s="17">
        <v>17</v>
      </c>
      <c r="U13" s="17">
        <v>18</v>
      </c>
      <c r="V13" s="17">
        <v>19</v>
      </c>
      <c r="W13" s="17">
        <v>20</v>
      </c>
      <c r="X13" s="17">
        <v>21</v>
      </c>
      <c r="Y13" s="17">
        <v>22</v>
      </c>
      <c r="Z13" s="17">
        <v>23</v>
      </c>
      <c r="AA13" s="17">
        <v>24</v>
      </c>
      <c r="AB13" s="17">
        <v>25</v>
      </c>
      <c r="AC13" s="17">
        <v>26</v>
      </c>
      <c r="AD13" s="17">
        <v>27</v>
      </c>
      <c r="AE13" s="17">
        <v>28</v>
      </c>
      <c r="AF13" s="17">
        <v>29</v>
      </c>
      <c r="AG13" s="17">
        <v>30</v>
      </c>
    </row>
    <row r="14" spans="1:33" x14ac:dyDescent="0.2">
      <c r="B14" s="144" t="s">
        <v>27</v>
      </c>
      <c r="C14" s="144" t="s">
        <v>8</v>
      </c>
      <c r="D14" s="204">
        <f>D6</f>
        <v>2022</v>
      </c>
      <c r="E14" s="204">
        <f>E6</f>
        <v>2023</v>
      </c>
      <c r="F14" s="204">
        <f>F6</f>
        <v>2024</v>
      </c>
      <c r="G14" s="204">
        <f t="shared" ref="G14:AG14" si="2">G6</f>
        <v>2025</v>
      </c>
      <c r="H14" s="204">
        <f t="shared" si="2"/>
        <v>2026</v>
      </c>
      <c r="I14" s="204">
        <f t="shared" si="2"/>
        <v>2027</v>
      </c>
      <c r="J14" s="204">
        <f t="shared" si="2"/>
        <v>2028</v>
      </c>
      <c r="K14" s="204">
        <f t="shared" si="2"/>
        <v>2029</v>
      </c>
      <c r="L14" s="204">
        <f t="shared" si="2"/>
        <v>2030</v>
      </c>
      <c r="M14" s="204">
        <f t="shared" si="2"/>
        <v>2031</v>
      </c>
      <c r="N14" s="204">
        <f t="shared" si="2"/>
        <v>2032</v>
      </c>
      <c r="O14" s="204">
        <f t="shared" si="2"/>
        <v>2033</v>
      </c>
      <c r="P14" s="204">
        <f t="shared" si="2"/>
        <v>2034</v>
      </c>
      <c r="Q14" s="204">
        <f t="shared" si="2"/>
        <v>2035</v>
      </c>
      <c r="R14" s="204">
        <f t="shared" si="2"/>
        <v>2036</v>
      </c>
      <c r="S14" s="204">
        <f t="shared" si="2"/>
        <v>2037</v>
      </c>
      <c r="T14" s="204">
        <f t="shared" si="2"/>
        <v>2038</v>
      </c>
      <c r="U14" s="204">
        <f t="shared" si="2"/>
        <v>2039</v>
      </c>
      <c r="V14" s="204">
        <f t="shared" si="2"/>
        <v>2040</v>
      </c>
      <c r="W14" s="204">
        <f t="shared" si="2"/>
        <v>2041</v>
      </c>
      <c r="X14" s="204">
        <f t="shared" si="2"/>
        <v>2042</v>
      </c>
      <c r="Y14" s="204">
        <f t="shared" si="2"/>
        <v>2043</v>
      </c>
      <c r="Z14" s="204">
        <f t="shared" si="2"/>
        <v>2044</v>
      </c>
      <c r="AA14" s="204">
        <f t="shared" si="2"/>
        <v>2045</v>
      </c>
      <c r="AB14" s="204">
        <f t="shared" si="2"/>
        <v>2046</v>
      </c>
      <c r="AC14" s="204">
        <f t="shared" si="2"/>
        <v>2047</v>
      </c>
      <c r="AD14" s="204">
        <f t="shared" si="2"/>
        <v>2048</v>
      </c>
      <c r="AE14" s="204">
        <f t="shared" si="2"/>
        <v>2049</v>
      </c>
      <c r="AF14" s="204">
        <f t="shared" si="2"/>
        <v>2050</v>
      </c>
      <c r="AG14" s="204">
        <f t="shared" si="2"/>
        <v>2051</v>
      </c>
    </row>
    <row r="15" spans="1:33" x14ac:dyDescent="0.2">
      <c r="B15" s="17" t="s">
        <v>174</v>
      </c>
      <c r="C15" s="205">
        <f>SUM(D15:AG15)</f>
        <v>0</v>
      </c>
      <c r="D15" s="206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</row>
    <row r="16" spans="1:33" x14ac:dyDescent="0.2">
      <c r="B16" s="17" t="s">
        <v>49</v>
      </c>
      <c r="C16" s="205">
        <f>SUM(D16:AG16)</f>
        <v>0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</row>
    <row r="17" spans="2:33" x14ac:dyDescent="0.2">
      <c r="B17" s="143" t="s">
        <v>10</v>
      </c>
      <c r="C17" s="207">
        <f>SUM(D17:AG17)</f>
        <v>0</v>
      </c>
      <c r="D17" s="207">
        <f>SUM(D15:D16)</f>
        <v>0</v>
      </c>
      <c r="E17" s="207">
        <f t="shared" ref="E17:AG17" si="3">SUM(E15:E16)</f>
        <v>0</v>
      </c>
      <c r="F17" s="207">
        <f t="shared" si="3"/>
        <v>0</v>
      </c>
      <c r="G17" s="207">
        <f t="shared" si="3"/>
        <v>0</v>
      </c>
      <c r="H17" s="207">
        <f t="shared" si="3"/>
        <v>0</v>
      </c>
      <c r="I17" s="207">
        <f t="shared" si="3"/>
        <v>0</v>
      </c>
      <c r="J17" s="207">
        <f t="shared" si="3"/>
        <v>0</v>
      </c>
      <c r="K17" s="207">
        <f t="shared" si="3"/>
        <v>0</v>
      </c>
      <c r="L17" s="207">
        <f t="shared" si="3"/>
        <v>0</v>
      </c>
      <c r="M17" s="207">
        <f t="shared" si="3"/>
        <v>0</v>
      </c>
      <c r="N17" s="207">
        <f t="shared" si="3"/>
        <v>0</v>
      </c>
      <c r="O17" s="207">
        <f t="shared" si="3"/>
        <v>0</v>
      </c>
      <c r="P17" s="207">
        <f t="shared" si="3"/>
        <v>0</v>
      </c>
      <c r="Q17" s="207">
        <f t="shared" si="3"/>
        <v>0</v>
      </c>
      <c r="R17" s="207">
        <f t="shared" si="3"/>
        <v>0</v>
      </c>
      <c r="S17" s="207">
        <f t="shared" si="3"/>
        <v>0</v>
      </c>
      <c r="T17" s="207">
        <f t="shared" si="3"/>
        <v>0</v>
      </c>
      <c r="U17" s="207">
        <f t="shared" si="3"/>
        <v>0</v>
      </c>
      <c r="V17" s="207">
        <f t="shared" si="3"/>
        <v>0</v>
      </c>
      <c r="W17" s="207">
        <f t="shared" si="3"/>
        <v>0</v>
      </c>
      <c r="X17" s="207">
        <f t="shared" si="3"/>
        <v>0</v>
      </c>
      <c r="Y17" s="207">
        <f t="shared" si="3"/>
        <v>0</v>
      </c>
      <c r="Z17" s="207">
        <f t="shared" si="3"/>
        <v>0</v>
      </c>
      <c r="AA17" s="207">
        <f t="shared" si="3"/>
        <v>0</v>
      </c>
      <c r="AB17" s="207">
        <f t="shared" si="3"/>
        <v>0</v>
      </c>
      <c r="AC17" s="207">
        <f t="shared" si="3"/>
        <v>0</v>
      </c>
      <c r="AD17" s="207">
        <f t="shared" si="3"/>
        <v>0</v>
      </c>
      <c r="AE17" s="207">
        <f t="shared" si="3"/>
        <v>0</v>
      </c>
      <c r="AF17" s="207">
        <f t="shared" si="3"/>
        <v>0</v>
      </c>
      <c r="AG17" s="207">
        <f t="shared" si="3"/>
        <v>0</v>
      </c>
    </row>
    <row r="20" spans="2:33" x14ac:dyDescent="0.2">
      <c r="B20" s="17"/>
      <c r="C20" s="17"/>
      <c r="D20" s="17" t="s">
        <v>9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2:33" x14ac:dyDescent="0.2">
      <c r="B21" s="143" t="s">
        <v>132</v>
      </c>
      <c r="C21" s="143"/>
      <c r="D21" s="17">
        <v>1</v>
      </c>
      <c r="E21" s="17">
        <v>2</v>
      </c>
      <c r="F21" s="17">
        <v>3</v>
      </c>
      <c r="G21" s="17">
        <v>4</v>
      </c>
      <c r="H21" s="17">
        <v>5</v>
      </c>
      <c r="I21" s="17">
        <v>6</v>
      </c>
      <c r="J21" s="17">
        <v>7</v>
      </c>
      <c r="K21" s="17">
        <v>8</v>
      </c>
      <c r="L21" s="17">
        <v>9</v>
      </c>
      <c r="M21" s="17">
        <v>10</v>
      </c>
      <c r="N21" s="17">
        <v>11</v>
      </c>
      <c r="O21" s="17">
        <v>12</v>
      </c>
      <c r="P21" s="17">
        <v>13</v>
      </c>
      <c r="Q21" s="17">
        <v>14</v>
      </c>
      <c r="R21" s="17">
        <v>15</v>
      </c>
      <c r="S21" s="17">
        <v>16</v>
      </c>
      <c r="T21" s="17">
        <v>17</v>
      </c>
      <c r="U21" s="17">
        <v>18</v>
      </c>
      <c r="V21" s="17">
        <v>19</v>
      </c>
      <c r="W21" s="17">
        <v>20</v>
      </c>
      <c r="X21" s="17">
        <v>21</v>
      </c>
      <c r="Y21" s="17">
        <v>22</v>
      </c>
      <c r="Z21" s="17">
        <v>23</v>
      </c>
      <c r="AA21" s="17">
        <v>24</v>
      </c>
      <c r="AB21" s="17">
        <v>25</v>
      </c>
      <c r="AC21" s="17">
        <v>26</v>
      </c>
      <c r="AD21" s="17">
        <v>27</v>
      </c>
      <c r="AE21" s="17">
        <v>28</v>
      </c>
      <c r="AF21" s="17">
        <v>29</v>
      </c>
      <c r="AG21" s="17">
        <v>30</v>
      </c>
    </row>
    <row r="22" spans="2:33" x14ac:dyDescent="0.2">
      <c r="B22" s="214" t="s">
        <v>133</v>
      </c>
      <c r="C22" s="214" t="s">
        <v>8</v>
      </c>
      <c r="D22" s="215">
        <f>D6</f>
        <v>2022</v>
      </c>
      <c r="E22" s="215">
        <f t="shared" ref="E22:AG22" si="4">E6</f>
        <v>2023</v>
      </c>
      <c r="F22" s="215">
        <f t="shared" si="4"/>
        <v>2024</v>
      </c>
      <c r="G22" s="215">
        <f t="shared" si="4"/>
        <v>2025</v>
      </c>
      <c r="H22" s="215">
        <f t="shared" si="4"/>
        <v>2026</v>
      </c>
      <c r="I22" s="215">
        <f t="shared" si="4"/>
        <v>2027</v>
      </c>
      <c r="J22" s="215">
        <f t="shared" si="4"/>
        <v>2028</v>
      </c>
      <c r="K22" s="215">
        <f t="shared" si="4"/>
        <v>2029</v>
      </c>
      <c r="L22" s="215">
        <f t="shared" si="4"/>
        <v>2030</v>
      </c>
      <c r="M22" s="215">
        <f t="shared" si="4"/>
        <v>2031</v>
      </c>
      <c r="N22" s="215">
        <f t="shared" si="4"/>
        <v>2032</v>
      </c>
      <c r="O22" s="215">
        <f t="shared" si="4"/>
        <v>2033</v>
      </c>
      <c r="P22" s="215">
        <f t="shared" si="4"/>
        <v>2034</v>
      </c>
      <c r="Q22" s="215">
        <f t="shared" si="4"/>
        <v>2035</v>
      </c>
      <c r="R22" s="215">
        <f t="shared" si="4"/>
        <v>2036</v>
      </c>
      <c r="S22" s="215">
        <f t="shared" si="4"/>
        <v>2037</v>
      </c>
      <c r="T22" s="215">
        <f t="shared" si="4"/>
        <v>2038</v>
      </c>
      <c r="U22" s="215">
        <f t="shared" si="4"/>
        <v>2039</v>
      </c>
      <c r="V22" s="215">
        <f t="shared" si="4"/>
        <v>2040</v>
      </c>
      <c r="W22" s="215">
        <f t="shared" si="4"/>
        <v>2041</v>
      </c>
      <c r="X22" s="215">
        <f t="shared" si="4"/>
        <v>2042</v>
      </c>
      <c r="Y22" s="215">
        <f t="shared" si="4"/>
        <v>2043</v>
      </c>
      <c r="Z22" s="215">
        <f t="shared" si="4"/>
        <v>2044</v>
      </c>
      <c r="AA22" s="215">
        <f t="shared" si="4"/>
        <v>2045</v>
      </c>
      <c r="AB22" s="215">
        <f t="shared" si="4"/>
        <v>2046</v>
      </c>
      <c r="AC22" s="215">
        <f t="shared" si="4"/>
        <v>2047</v>
      </c>
      <c r="AD22" s="215">
        <f t="shared" si="4"/>
        <v>2048</v>
      </c>
      <c r="AE22" s="215">
        <f t="shared" si="4"/>
        <v>2049</v>
      </c>
      <c r="AF22" s="215">
        <f t="shared" si="4"/>
        <v>2050</v>
      </c>
      <c r="AG22" s="215">
        <f t="shared" si="4"/>
        <v>2051</v>
      </c>
    </row>
    <row r="23" spans="2:33" x14ac:dyDescent="0.2">
      <c r="B23" s="17" t="s">
        <v>174</v>
      </c>
      <c r="C23" s="205">
        <f>SUM(D23:AG23)</f>
        <v>0</v>
      </c>
      <c r="D23" s="163">
        <f>D15-D7</f>
        <v>0</v>
      </c>
      <c r="E23" s="163">
        <f t="shared" ref="E23:AG23" si="5">E15-E7</f>
        <v>0</v>
      </c>
      <c r="F23" s="163">
        <f t="shared" si="5"/>
        <v>0</v>
      </c>
      <c r="G23" s="163">
        <f t="shared" si="5"/>
        <v>0</v>
      </c>
      <c r="H23" s="163">
        <f t="shared" si="5"/>
        <v>0</v>
      </c>
      <c r="I23" s="163">
        <f t="shared" si="5"/>
        <v>0</v>
      </c>
      <c r="J23" s="163">
        <f t="shared" si="5"/>
        <v>0</v>
      </c>
      <c r="K23" s="163">
        <f t="shared" si="5"/>
        <v>0</v>
      </c>
      <c r="L23" s="163">
        <f t="shared" si="5"/>
        <v>0</v>
      </c>
      <c r="M23" s="163">
        <f t="shared" si="5"/>
        <v>0</v>
      </c>
      <c r="N23" s="163">
        <f t="shared" si="5"/>
        <v>0</v>
      </c>
      <c r="O23" s="163">
        <f t="shared" si="5"/>
        <v>0</v>
      </c>
      <c r="P23" s="163">
        <f t="shared" si="5"/>
        <v>0</v>
      </c>
      <c r="Q23" s="163">
        <f t="shared" si="5"/>
        <v>0</v>
      </c>
      <c r="R23" s="163">
        <f t="shared" si="5"/>
        <v>0</v>
      </c>
      <c r="S23" s="163">
        <f t="shared" si="5"/>
        <v>0</v>
      </c>
      <c r="T23" s="163">
        <f t="shared" si="5"/>
        <v>0</v>
      </c>
      <c r="U23" s="163">
        <f t="shared" si="5"/>
        <v>0</v>
      </c>
      <c r="V23" s="163">
        <f t="shared" si="5"/>
        <v>0</v>
      </c>
      <c r="W23" s="163">
        <f t="shared" si="5"/>
        <v>0</v>
      </c>
      <c r="X23" s="163">
        <f t="shared" si="5"/>
        <v>0</v>
      </c>
      <c r="Y23" s="163">
        <f t="shared" si="5"/>
        <v>0</v>
      </c>
      <c r="Z23" s="163">
        <f t="shared" si="5"/>
        <v>0</v>
      </c>
      <c r="AA23" s="163">
        <f t="shared" si="5"/>
        <v>0</v>
      </c>
      <c r="AB23" s="163">
        <f t="shared" si="5"/>
        <v>0</v>
      </c>
      <c r="AC23" s="163">
        <f t="shared" si="5"/>
        <v>0</v>
      </c>
      <c r="AD23" s="163">
        <f t="shared" si="5"/>
        <v>0</v>
      </c>
      <c r="AE23" s="163">
        <f t="shared" si="5"/>
        <v>0</v>
      </c>
      <c r="AF23" s="163">
        <f t="shared" si="5"/>
        <v>0</v>
      </c>
      <c r="AG23" s="163">
        <f t="shared" si="5"/>
        <v>0</v>
      </c>
    </row>
    <row r="24" spans="2:33" x14ac:dyDescent="0.2">
      <c r="B24" s="17" t="s">
        <v>49</v>
      </c>
      <c r="C24" s="205">
        <f>SUM(D24:AG24)</f>
        <v>0</v>
      </c>
      <c r="D24" s="163">
        <f>D16-D8</f>
        <v>0</v>
      </c>
      <c r="E24" s="163">
        <f t="shared" ref="E24:AG24" si="6">E16-E8</f>
        <v>0</v>
      </c>
      <c r="F24" s="163">
        <f t="shared" si="6"/>
        <v>0</v>
      </c>
      <c r="G24" s="163">
        <f t="shared" si="6"/>
        <v>0</v>
      </c>
      <c r="H24" s="163">
        <f t="shared" si="6"/>
        <v>0</v>
      </c>
      <c r="I24" s="163">
        <f t="shared" si="6"/>
        <v>0</v>
      </c>
      <c r="J24" s="163">
        <f t="shared" si="6"/>
        <v>0</v>
      </c>
      <c r="K24" s="163">
        <f t="shared" si="6"/>
        <v>0</v>
      </c>
      <c r="L24" s="163">
        <f t="shared" si="6"/>
        <v>0</v>
      </c>
      <c r="M24" s="163">
        <f t="shared" si="6"/>
        <v>0</v>
      </c>
      <c r="N24" s="163">
        <f t="shared" si="6"/>
        <v>0</v>
      </c>
      <c r="O24" s="163">
        <f t="shared" si="6"/>
        <v>0</v>
      </c>
      <c r="P24" s="163">
        <f t="shared" si="6"/>
        <v>0</v>
      </c>
      <c r="Q24" s="163">
        <f t="shared" si="6"/>
        <v>0</v>
      </c>
      <c r="R24" s="163">
        <f t="shared" si="6"/>
        <v>0</v>
      </c>
      <c r="S24" s="163">
        <f t="shared" si="6"/>
        <v>0</v>
      </c>
      <c r="T24" s="163">
        <f t="shared" si="6"/>
        <v>0</v>
      </c>
      <c r="U24" s="163">
        <f t="shared" si="6"/>
        <v>0</v>
      </c>
      <c r="V24" s="163">
        <f t="shared" si="6"/>
        <v>0</v>
      </c>
      <c r="W24" s="163">
        <f t="shared" si="6"/>
        <v>0</v>
      </c>
      <c r="X24" s="163">
        <f t="shared" si="6"/>
        <v>0</v>
      </c>
      <c r="Y24" s="163">
        <f t="shared" si="6"/>
        <v>0</v>
      </c>
      <c r="Z24" s="163">
        <f t="shared" si="6"/>
        <v>0</v>
      </c>
      <c r="AA24" s="163">
        <f t="shared" si="6"/>
        <v>0</v>
      </c>
      <c r="AB24" s="163">
        <f t="shared" si="6"/>
        <v>0</v>
      </c>
      <c r="AC24" s="163">
        <f t="shared" si="6"/>
        <v>0</v>
      </c>
      <c r="AD24" s="163">
        <f t="shared" si="6"/>
        <v>0</v>
      </c>
      <c r="AE24" s="163">
        <f t="shared" si="6"/>
        <v>0</v>
      </c>
      <c r="AF24" s="163">
        <f t="shared" si="6"/>
        <v>0</v>
      </c>
      <c r="AG24" s="163">
        <f t="shared" si="6"/>
        <v>0</v>
      </c>
    </row>
    <row r="25" spans="2:33" x14ac:dyDescent="0.2">
      <c r="B25" s="143" t="s">
        <v>10</v>
      </c>
      <c r="C25" s="207">
        <f>SUM(D25:AG25)</f>
        <v>0</v>
      </c>
      <c r="D25" s="207">
        <f>SUM(D23:D24)</f>
        <v>0</v>
      </c>
      <c r="E25" s="207">
        <f t="shared" ref="E25:AG25" si="7">SUM(E23:E24)</f>
        <v>0</v>
      </c>
      <c r="F25" s="207">
        <f t="shared" si="7"/>
        <v>0</v>
      </c>
      <c r="G25" s="207">
        <f t="shared" si="7"/>
        <v>0</v>
      </c>
      <c r="H25" s="207">
        <f t="shared" si="7"/>
        <v>0</v>
      </c>
      <c r="I25" s="207">
        <f t="shared" si="7"/>
        <v>0</v>
      </c>
      <c r="J25" s="207">
        <f t="shared" si="7"/>
        <v>0</v>
      </c>
      <c r="K25" s="207">
        <f t="shared" si="7"/>
        <v>0</v>
      </c>
      <c r="L25" s="207">
        <f t="shared" si="7"/>
        <v>0</v>
      </c>
      <c r="M25" s="207">
        <f t="shared" si="7"/>
        <v>0</v>
      </c>
      <c r="N25" s="207">
        <f t="shared" si="7"/>
        <v>0</v>
      </c>
      <c r="O25" s="207">
        <f t="shared" si="7"/>
        <v>0</v>
      </c>
      <c r="P25" s="207">
        <f t="shared" si="7"/>
        <v>0</v>
      </c>
      <c r="Q25" s="207">
        <f t="shared" si="7"/>
        <v>0</v>
      </c>
      <c r="R25" s="207">
        <f t="shared" si="7"/>
        <v>0</v>
      </c>
      <c r="S25" s="207">
        <f t="shared" si="7"/>
        <v>0</v>
      </c>
      <c r="T25" s="207">
        <f t="shared" si="7"/>
        <v>0</v>
      </c>
      <c r="U25" s="207">
        <f t="shared" si="7"/>
        <v>0</v>
      </c>
      <c r="V25" s="207">
        <f t="shared" si="7"/>
        <v>0</v>
      </c>
      <c r="W25" s="207">
        <f t="shared" si="7"/>
        <v>0</v>
      </c>
      <c r="X25" s="207">
        <f t="shared" si="7"/>
        <v>0</v>
      </c>
      <c r="Y25" s="207">
        <f t="shared" si="7"/>
        <v>0</v>
      </c>
      <c r="Z25" s="207">
        <f t="shared" si="7"/>
        <v>0</v>
      </c>
      <c r="AA25" s="207">
        <f t="shared" si="7"/>
        <v>0</v>
      </c>
      <c r="AB25" s="207">
        <f t="shared" si="7"/>
        <v>0</v>
      </c>
      <c r="AC25" s="207">
        <f t="shared" si="7"/>
        <v>0</v>
      </c>
      <c r="AD25" s="207">
        <f t="shared" si="7"/>
        <v>0</v>
      </c>
      <c r="AE25" s="207">
        <f t="shared" si="7"/>
        <v>0</v>
      </c>
      <c r="AF25" s="207">
        <f t="shared" si="7"/>
        <v>0</v>
      </c>
      <c r="AG25" s="207">
        <f t="shared" si="7"/>
        <v>0</v>
      </c>
    </row>
  </sheetData>
  <sheetProtection algorithmName="SHA-512" hashValue="tVmVDZy9NiJUZ6ysSB5LMsC0TSEF3NLTxCDFC43lftPtsuQaFiX+8+IYCWLOjIyt8BiJjKlzX5354qFlNNvWVg==" saltValue="vPFCLzb3X4wQItBOKPHInA==" spinCount="100000" sheet="1" objects="1" scenarios="1" selectLockedCells="1"/>
  <phoneticPr fontId="9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4"/>
  <sheetViews>
    <sheetView topLeftCell="B1" zoomScaleNormal="100" workbookViewId="0">
      <selection activeCell="K48" sqref="K48"/>
    </sheetView>
  </sheetViews>
  <sheetFormatPr defaultColWidth="9.140625" defaultRowHeight="11.25" x14ac:dyDescent="0.2"/>
  <cols>
    <col min="1" max="1" width="2.7109375" style="1" customWidth="1"/>
    <col min="2" max="2" width="44.7109375" style="1" customWidth="1"/>
    <col min="3" max="3" width="13.7109375" style="1" customWidth="1"/>
    <col min="4" max="4" width="10.7109375" style="1" customWidth="1"/>
    <col min="5" max="5" width="13.42578125" style="1" customWidth="1"/>
    <col min="6" max="6" width="8.5703125" style="1" customWidth="1"/>
    <col min="7" max="33" width="9.7109375" style="1" customWidth="1"/>
    <col min="34" max="34" width="5" style="1" bestFit="1" customWidth="1"/>
    <col min="35" max="16384" width="9.140625" style="1"/>
  </cols>
  <sheetData>
    <row r="2" spans="1:33" ht="12.75" x14ac:dyDescent="0.2">
      <c r="A2" s="121" t="s">
        <v>386</v>
      </c>
    </row>
    <row r="4" spans="1:33" x14ac:dyDescent="0.2">
      <c r="B4" s="182" t="s">
        <v>15</v>
      </c>
      <c r="C4" s="182"/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x14ac:dyDescent="0.2">
      <c r="B5" s="143"/>
      <c r="C5" s="40" t="s">
        <v>8</v>
      </c>
      <c r="D5" s="129">
        <v>1</v>
      </c>
      <c r="E5" s="129">
        <v>2</v>
      </c>
      <c r="F5" s="129">
        <v>3</v>
      </c>
      <c r="G5" s="129">
        <v>4</v>
      </c>
      <c r="H5" s="129">
        <v>5</v>
      </c>
      <c r="I5" s="129">
        <v>6</v>
      </c>
      <c r="J5" s="129">
        <v>7</v>
      </c>
      <c r="K5" s="129">
        <v>8</v>
      </c>
      <c r="L5" s="129">
        <v>9</v>
      </c>
      <c r="M5" s="129">
        <v>10</v>
      </c>
      <c r="N5" s="129">
        <v>11</v>
      </c>
      <c r="O5" s="129">
        <v>12</v>
      </c>
      <c r="P5" s="129">
        <v>13</v>
      </c>
      <c r="Q5" s="129">
        <v>14</v>
      </c>
      <c r="R5" s="129">
        <v>15</v>
      </c>
      <c r="S5" s="129">
        <v>16</v>
      </c>
      <c r="T5" s="129">
        <v>17</v>
      </c>
      <c r="U5" s="129">
        <v>18</v>
      </c>
      <c r="V5" s="129">
        <v>19</v>
      </c>
      <c r="W5" s="129">
        <v>20</v>
      </c>
      <c r="X5" s="129">
        <v>21</v>
      </c>
      <c r="Y5" s="129">
        <v>22</v>
      </c>
      <c r="Z5" s="129">
        <v>23</v>
      </c>
      <c r="AA5" s="129">
        <v>24</v>
      </c>
      <c r="AB5" s="129">
        <v>25</v>
      </c>
      <c r="AC5" s="129">
        <v>26</v>
      </c>
      <c r="AD5" s="129">
        <v>27</v>
      </c>
      <c r="AE5" s="129">
        <v>28</v>
      </c>
      <c r="AF5" s="129">
        <v>29</v>
      </c>
      <c r="AG5" s="129">
        <v>30</v>
      </c>
    </row>
    <row r="6" spans="1:33" x14ac:dyDescent="0.2">
      <c r="B6" s="144" t="s">
        <v>32</v>
      </c>
      <c r="C6" s="217" t="s">
        <v>124</v>
      </c>
      <c r="D6" s="132">
        <f>Parametre!C13</f>
        <v>2022</v>
      </c>
      <c r="E6" s="132">
        <f>$D$6+D5</f>
        <v>2023</v>
      </c>
      <c r="F6" s="132">
        <f>$D$6+E5</f>
        <v>2024</v>
      </c>
      <c r="G6" s="132">
        <f t="shared" ref="G6:AG6" si="0">$D$6+F5</f>
        <v>2025</v>
      </c>
      <c r="H6" s="132">
        <f t="shared" si="0"/>
        <v>2026</v>
      </c>
      <c r="I6" s="132">
        <f t="shared" si="0"/>
        <v>2027</v>
      </c>
      <c r="J6" s="132">
        <f t="shared" si="0"/>
        <v>2028</v>
      </c>
      <c r="K6" s="132">
        <f t="shared" si="0"/>
        <v>2029</v>
      </c>
      <c r="L6" s="132">
        <f t="shared" si="0"/>
        <v>2030</v>
      </c>
      <c r="M6" s="132">
        <f t="shared" si="0"/>
        <v>2031</v>
      </c>
      <c r="N6" s="132">
        <f t="shared" si="0"/>
        <v>2032</v>
      </c>
      <c r="O6" s="132">
        <f t="shared" si="0"/>
        <v>2033</v>
      </c>
      <c r="P6" s="132">
        <f t="shared" si="0"/>
        <v>2034</v>
      </c>
      <c r="Q6" s="132">
        <f t="shared" si="0"/>
        <v>2035</v>
      </c>
      <c r="R6" s="132">
        <f t="shared" si="0"/>
        <v>2036</v>
      </c>
      <c r="S6" s="132">
        <f t="shared" si="0"/>
        <v>2037</v>
      </c>
      <c r="T6" s="132">
        <f t="shared" si="0"/>
        <v>2038</v>
      </c>
      <c r="U6" s="132">
        <f t="shared" si="0"/>
        <v>2039</v>
      </c>
      <c r="V6" s="132">
        <f t="shared" si="0"/>
        <v>2040</v>
      </c>
      <c r="W6" s="132">
        <f t="shared" si="0"/>
        <v>2041</v>
      </c>
      <c r="X6" s="132">
        <f t="shared" si="0"/>
        <v>2042</v>
      </c>
      <c r="Y6" s="132">
        <f t="shared" si="0"/>
        <v>2043</v>
      </c>
      <c r="Z6" s="132">
        <f t="shared" si="0"/>
        <v>2044</v>
      </c>
      <c r="AA6" s="132">
        <f t="shared" si="0"/>
        <v>2045</v>
      </c>
      <c r="AB6" s="132">
        <f t="shared" si="0"/>
        <v>2046</v>
      </c>
      <c r="AC6" s="132">
        <f t="shared" si="0"/>
        <v>2047</v>
      </c>
      <c r="AD6" s="132">
        <f t="shared" si="0"/>
        <v>2048</v>
      </c>
      <c r="AE6" s="132">
        <f t="shared" si="0"/>
        <v>2049</v>
      </c>
      <c r="AF6" s="132">
        <f t="shared" si="0"/>
        <v>2050</v>
      </c>
      <c r="AG6" s="132">
        <f t="shared" si="0"/>
        <v>2051</v>
      </c>
    </row>
    <row r="7" spans="1:33" x14ac:dyDescent="0.2">
      <c r="B7" s="17" t="s">
        <v>54</v>
      </c>
      <c r="C7" s="218">
        <f>D7+NPV(Parametre!$C$9,'06 Finančná analýza'!E7:AG7)</f>
        <v>0</v>
      </c>
      <c r="D7" s="163">
        <f>'01 Investičné výdavky'!D41+'01 Investičné výdavky'!E41</f>
        <v>0</v>
      </c>
      <c r="E7" s="163">
        <f>'01 Investičné výdavky'!F41</f>
        <v>0</v>
      </c>
      <c r="F7" s="163">
        <f>'01 Investičné výdavky'!G41</f>
        <v>0</v>
      </c>
      <c r="G7" s="163">
        <f>'01 Investičné výdavky'!H41</f>
        <v>0</v>
      </c>
      <c r="H7" s="163">
        <f>'01 Investičné výdavky'!I41</f>
        <v>0</v>
      </c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</row>
    <row r="8" spans="1:33" x14ac:dyDescent="0.2">
      <c r="B8" s="17" t="s">
        <v>53</v>
      </c>
      <c r="C8" s="218">
        <f>D8+NPV(Parametre!$C$9,'06 Finančná analýza'!E8:AG8)</f>
        <v>56537252.428505026</v>
      </c>
      <c r="D8" s="163">
        <f>'03 Prevádzkové výdavky'!D34</f>
        <v>3218201.5284615387</v>
      </c>
      <c r="E8" s="163">
        <f>'03 Prevádzkové výdavky'!E34</f>
        <v>3139422.2084615389</v>
      </c>
      <c r="F8" s="163">
        <f>'03 Prevádzkové výdavky'!F34</f>
        <v>3139422.2084615389</v>
      </c>
      <c r="G8" s="163">
        <f>'03 Prevádzkové výdavky'!G34</f>
        <v>3139422.2084615389</v>
      </c>
      <c r="H8" s="163">
        <f>'03 Prevádzkové výdavky'!H34</f>
        <v>3139422.2084615389</v>
      </c>
      <c r="I8" s="163">
        <f>'03 Prevádzkové výdavky'!I34</f>
        <v>3139422.2084615389</v>
      </c>
      <c r="J8" s="163">
        <f>'03 Prevádzkové výdavky'!J34</f>
        <v>3139422.2084615389</v>
      </c>
      <c r="K8" s="163">
        <f>'03 Prevádzkové výdavky'!K34</f>
        <v>3139422.2084615389</v>
      </c>
      <c r="L8" s="163">
        <f>'03 Prevádzkové výdavky'!L34</f>
        <v>3139422.2084615389</v>
      </c>
      <c r="M8" s="163">
        <f>'03 Prevádzkové výdavky'!M34</f>
        <v>3139422.2084615389</v>
      </c>
      <c r="N8" s="163">
        <f>'03 Prevádzkové výdavky'!N34</f>
        <v>3139422.2084615389</v>
      </c>
      <c r="O8" s="163">
        <f>'03 Prevádzkové výdavky'!O34</f>
        <v>3139422.2084615389</v>
      </c>
      <c r="P8" s="163">
        <f>'03 Prevádzkové výdavky'!P34</f>
        <v>3139422.2084615389</v>
      </c>
      <c r="Q8" s="163">
        <f>'03 Prevádzkové výdavky'!Q34</f>
        <v>3139422.2084615389</v>
      </c>
      <c r="R8" s="163">
        <f>'03 Prevádzkové výdavky'!R34</f>
        <v>3139422.2084615389</v>
      </c>
      <c r="S8" s="163">
        <f>'03 Prevádzkové výdavky'!S34</f>
        <v>3139422.2084615389</v>
      </c>
      <c r="T8" s="163">
        <f>'03 Prevádzkové výdavky'!T34</f>
        <v>3139422.2084615389</v>
      </c>
      <c r="U8" s="163">
        <f>'03 Prevádzkové výdavky'!U34</f>
        <v>3139422.2084615389</v>
      </c>
      <c r="V8" s="163">
        <f>'03 Prevádzkové výdavky'!V34</f>
        <v>3139422.2084615389</v>
      </c>
      <c r="W8" s="163">
        <f>'03 Prevádzkové výdavky'!W34</f>
        <v>3139422.2084615389</v>
      </c>
      <c r="X8" s="163">
        <f>'03 Prevádzkové výdavky'!X34</f>
        <v>3139422.2084615389</v>
      </c>
      <c r="Y8" s="163">
        <f>'03 Prevádzkové výdavky'!Y34</f>
        <v>3139422.2084615389</v>
      </c>
      <c r="Z8" s="163">
        <f>'03 Prevádzkové výdavky'!Z34</f>
        <v>3139422.2084615389</v>
      </c>
      <c r="AA8" s="163">
        <f>'03 Prevádzkové výdavky'!AA34</f>
        <v>3139422.2084615389</v>
      </c>
      <c r="AB8" s="163">
        <f>'03 Prevádzkové výdavky'!AB34</f>
        <v>3139422.2084615389</v>
      </c>
      <c r="AC8" s="163">
        <f>'03 Prevádzkové výdavky'!AC34</f>
        <v>3139422.2084615389</v>
      </c>
      <c r="AD8" s="163">
        <f>'03 Prevádzkové výdavky'!AD34</f>
        <v>3139422.2084615389</v>
      </c>
      <c r="AE8" s="163">
        <f>'03 Prevádzkové výdavky'!AE34</f>
        <v>3139422.2084615389</v>
      </c>
      <c r="AF8" s="163">
        <f>'03 Prevádzkové výdavky'!AF34</f>
        <v>3139422.2084615389</v>
      </c>
      <c r="AG8" s="163">
        <f>'03 Prevádzkové výdavky'!AG34</f>
        <v>3139422.2084615389</v>
      </c>
    </row>
    <row r="9" spans="1:33" x14ac:dyDescent="0.2">
      <c r="B9" s="17" t="s">
        <v>115</v>
      </c>
      <c r="C9" s="218">
        <f>D9+NPV(Parametre!$C$9,'06 Finančná analýza'!E9:AG9)</f>
        <v>0</v>
      </c>
      <c r="D9" s="163">
        <f>'04 Prevádzkové príjmy'!D25</f>
        <v>0</v>
      </c>
      <c r="E9" s="163">
        <f>'04 Prevádzkové príjmy'!E25</f>
        <v>0</v>
      </c>
      <c r="F9" s="163">
        <f>'04 Prevádzkové príjmy'!F25</f>
        <v>0</v>
      </c>
      <c r="G9" s="163">
        <f>'04 Prevádzkové príjmy'!G25</f>
        <v>0</v>
      </c>
      <c r="H9" s="163">
        <f>'04 Prevádzkové príjmy'!H25</f>
        <v>0</v>
      </c>
      <c r="I9" s="163">
        <f>'04 Prevádzkové príjmy'!I25</f>
        <v>0</v>
      </c>
      <c r="J9" s="163">
        <f>'04 Prevádzkové príjmy'!J25</f>
        <v>0</v>
      </c>
      <c r="K9" s="163">
        <f>'04 Prevádzkové príjmy'!K25</f>
        <v>0</v>
      </c>
      <c r="L9" s="163">
        <f>'04 Prevádzkové príjmy'!L25</f>
        <v>0</v>
      </c>
      <c r="M9" s="163">
        <f>'04 Prevádzkové príjmy'!M25</f>
        <v>0</v>
      </c>
      <c r="N9" s="163">
        <f>'04 Prevádzkové príjmy'!N25</f>
        <v>0</v>
      </c>
      <c r="O9" s="163">
        <f>'04 Prevádzkové príjmy'!O25</f>
        <v>0</v>
      </c>
      <c r="P9" s="163">
        <f>'04 Prevádzkové príjmy'!P25</f>
        <v>0</v>
      </c>
      <c r="Q9" s="163">
        <f>'04 Prevádzkové príjmy'!Q25</f>
        <v>0</v>
      </c>
      <c r="R9" s="163">
        <f>'04 Prevádzkové príjmy'!R25</f>
        <v>0</v>
      </c>
      <c r="S9" s="163">
        <f>'04 Prevádzkové príjmy'!S25</f>
        <v>0</v>
      </c>
      <c r="T9" s="163">
        <f>'04 Prevádzkové príjmy'!T25</f>
        <v>0</v>
      </c>
      <c r="U9" s="163">
        <f>'04 Prevádzkové príjmy'!U25</f>
        <v>0</v>
      </c>
      <c r="V9" s="163">
        <f>'04 Prevádzkové príjmy'!V25</f>
        <v>0</v>
      </c>
      <c r="W9" s="163">
        <f>'04 Prevádzkové príjmy'!W25</f>
        <v>0</v>
      </c>
      <c r="X9" s="163">
        <f>'04 Prevádzkové príjmy'!X25</f>
        <v>0</v>
      </c>
      <c r="Y9" s="163">
        <f>'04 Prevádzkové príjmy'!Y25</f>
        <v>0</v>
      </c>
      <c r="Z9" s="163">
        <f>'04 Prevádzkové príjmy'!Z25</f>
        <v>0</v>
      </c>
      <c r="AA9" s="163">
        <f>'04 Prevádzkové príjmy'!AA25</f>
        <v>0</v>
      </c>
      <c r="AB9" s="163">
        <f>'04 Prevádzkové príjmy'!AB25</f>
        <v>0</v>
      </c>
      <c r="AC9" s="163">
        <f>'04 Prevádzkové príjmy'!AC25</f>
        <v>0</v>
      </c>
      <c r="AD9" s="163">
        <f>'04 Prevádzkové príjmy'!AD25</f>
        <v>0</v>
      </c>
      <c r="AE9" s="163">
        <f>'04 Prevádzkové príjmy'!AE25</f>
        <v>0</v>
      </c>
      <c r="AF9" s="163">
        <f>'04 Prevádzkové príjmy'!AF25</f>
        <v>0</v>
      </c>
      <c r="AG9" s="163">
        <f>'04 Prevádzkové príjmy'!AG25</f>
        <v>0</v>
      </c>
    </row>
    <row r="10" spans="1:33" ht="12" thickBot="1" x14ac:dyDescent="0.25">
      <c r="B10" s="219" t="s">
        <v>12</v>
      </c>
      <c r="C10" s="220">
        <f>D10+NPV(Parametre!$C$9,'06 Finančná analýza'!E10:AG10)</f>
        <v>0</v>
      </c>
      <c r="D10" s="163">
        <f>'04 Prevádzkové príjmy'!D26</f>
        <v>0</v>
      </c>
      <c r="E10" s="163">
        <f>'04 Prevádzkové príjmy'!E26</f>
        <v>0</v>
      </c>
      <c r="F10" s="163">
        <f>'04 Prevádzkové príjmy'!F26</f>
        <v>0</v>
      </c>
      <c r="G10" s="163">
        <f>'04 Prevádzkové príjmy'!G26</f>
        <v>0</v>
      </c>
      <c r="H10" s="163">
        <f>'04 Prevádzkové príjmy'!H26</f>
        <v>0</v>
      </c>
      <c r="I10" s="163">
        <f>'04 Prevádzkové príjmy'!I26</f>
        <v>0</v>
      </c>
      <c r="J10" s="163">
        <f>'04 Prevádzkové príjmy'!J26</f>
        <v>0</v>
      </c>
      <c r="K10" s="163">
        <f>'04 Prevádzkové príjmy'!K26</f>
        <v>0</v>
      </c>
      <c r="L10" s="163">
        <f>'04 Prevádzkové príjmy'!L26</f>
        <v>0</v>
      </c>
      <c r="M10" s="163">
        <f>'04 Prevádzkové príjmy'!M26</f>
        <v>0</v>
      </c>
      <c r="N10" s="163">
        <f>'04 Prevádzkové príjmy'!N26</f>
        <v>0</v>
      </c>
      <c r="O10" s="163">
        <f>'04 Prevádzkové príjmy'!O26</f>
        <v>0</v>
      </c>
      <c r="P10" s="163">
        <f>'04 Prevádzkové príjmy'!P26</f>
        <v>0</v>
      </c>
      <c r="Q10" s="163">
        <f>'04 Prevádzkové príjmy'!Q26</f>
        <v>0</v>
      </c>
      <c r="R10" s="163">
        <f>'04 Prevádzkové príjmy'!R26</f>
        <v>0</v>
      </c>
      <c r="S10" s="163">
        <f>'04 Prevádzkové príjmy'!S26</f>
        <v>0</v>
      </c>
      <c r="T10" s="163">
        <f>'04 Prevádzkové príjmy'!T26</f>
        <v>0</v>
      </c>
      <c r="U10" s="163">
        <f>'04 Prevádzkové príjmy'!U26</f>
        <v>0</v>
      </c>
      <c r="V10" s="163">
        <f>'04 Prevádzkové príjmy'!V26</f>
        <v>0</v>
      </c>
      <c r="W10" s="163">
        <f>'04 Prevádzkové príjmy'!W26</f>
        <v>0</v>
      </c>
      <c r="X10" s="163">
        <f>'04 Prevádzkové príjmy'!X26</f>
        <v>0</v>
      </c>
      <c r="Y10" s="163">
        <f>'04 Prevádzkové príjmy'!Y26</f>
        <v>0</v>
      </c>
      <c r="Z10" s="163">
        <f>'04 Prevádzkové príjmy'!Z26</f>
        <v>0</v>
      </c>
      <c r="AA10" s="163">
        <f>'04 Prevádzkové príjmy'!AA26</f>
        <v>0</v>
      </c>
      <c r="AB10" s="163">
        <f>'04 Prevádzkové príjmy'!AB26</f>
        <v>0</v>
      </c>
      <c r="AC10" s="163">
        <f>'04 Prevádzkové príjmy'!AC26</f>
        <v>0</v>
      </c>
      <c r="AD10" s="163">
        <f>'04 Prevádzkové príjmy'!AD26</f>
        <v>0</v>
      </c>
      <c r="AE10" s="163">
        <f>'04 Prevádzkové príjmy'!AE26</f>
        <v>0</v>
      </c>
      <c r="AF10" s="163">
        <f>'04 Prevádzkové príjmy'!AF26</f>
        <v>0</v>
      </c>
      <c r="AG10" s="221">
        <f>'02 Zostatková hodnota'!H23</f>
        <v>0</v>
      </c>
    </row>
    <row r="11" spans="1:33" ht="12" thickTop="1" x14ac:dyDescent="0.2">
      <c r="B11" s="210" t="s">
        <v>33</v>
      </c>
      <c r="C11" s="222">
        <f>D11+NPV(Parametre!$C$9,'06 Finančná analýza'!E11:AG11)</f>
        <v>-56537252.428505026</v>
      </c>
      <c r="D11" s="211">
        <f>-D7-D8+D9+D10</f>
        <v>-3218201.5284615387</v>
      </c>
      <c r="E11" s="211">
        <f>-E7-E8+E9+E10</f>
        <v>-3139422.2084615389</v>
      </c>
      <c r="F11" s="211">
        <f t="shared" ref="F11:AG11" si="1">-F7-F8+F9+F10</f>
        <v>-3139422.2084615389</v>
      </c>
      <c r="G11" s="211">
        <f t="shared" si="1"/>
        <v>-3139422.2084615389</v>
      </c>
      <c r="H11" s="211">
        <f t="shared" si="1"/>
        <v>-3139422.2084615389</v>
      </c>
      <c r="I11" s="211">
        <f>-I7-I8+I9+I10</f>
        <v>-3139422.2084615389</v>
      </c>
      <c r="J11" s="211">
        <f t="shared" si="1"/>
        <v>-3139422.2084615389</v>
      </c>
      <c r="K11" s="211">
        <f t="shared" si="1"/>
        <v>-3139422.2084615389</v>
      </c>
      <c r="L11" s="211">
        <f t="shared" si="1"/>
        <v>-3139422.2084615389</v>
      </c>
      <c r="M11" s="211">
        <f t="shared" si="1"/>
        <v>-3139422.2084615389</v>
      </c>
      <c r="N11" s="211">
        <f t="shared" si="1"/>
        <v>-3139422.2084615389</v>
      </c>
      <c r="O11" s="211">
        <f t="shared" si="1"/>
        <v>-3139422.2084615389</v>
      </c>
      <c r="P11" s="211">
        <f t="shared" si="1"/>
        <v>-3139422.2084615389</v>
      </c>
      <c r="Q11" s="211">
        <f t="shared" si="1"/>
        <v>-3139422.2084615389</v>
      </c>
      <c r="R11" s="211">
        <f t="shared" si="1"/>
        <v>-3139422.2084615389</v>
      </c>
      <c r="S11" s="211">
        <f t="shared" si="1"/>
        <v>-3139422.2084615389</v>
      </c>
      <c r="T11" s="211">
        <f t="shared" si="1"/>
        <v>-3139422.2084615389</v>
      </c>
      <c r="U11" s="211">
        <f t="shared" si="1"/>
        <v>-3139422.2084615389</v>
      </c>
      <c r="V11" s="211">
        <f t="shared" si="1"/>
        <v>-3139422.2084615389</v>
      </c>
      <c r="W11" s="211">
        <f t="shared" si="1"/>
        <v>-3139422.2084615389</v>
      </c>
      <c r="X11" s="211">
        <f t="shared" si="1"/>
        <v>-3139422.2084615389</v>
      </c>
      <c r="Y11" s="211">
        <f t="shared" si="1"/>
        <v>-3139422.2084615389</v>
      </c>
      <c r="Z11" s="211">
        <f t="shared" si="1"/>
        <v>-3139422.2084615389</v>
      </c>
      <c r="AA11" s="211">
        <f t="shared" si="1"/>
        <v>-3139422.2084615389</v>
      </c>
      <c r="AB11" s="211">
        <f t="shared" si="1"/>
        <v>-3139422.2084615389</v>
      </c>
      <c r="AC11" s="211">
        <f t="shared" si="1"/>
        <v>-3139422.2084615389</v>
      </c>
      <c r="AD11" s="211">
        <f t="shared" si="1"/>
        <v>-3139422.2084615389</v>
      </c>
      <c r="AE11" s="211">
        <f t="shared" si="1"/>
        <v>-3139422.2084615389</v>
      </c>
      <c r="AF11" s="211">
        <f t="shared" si="1"/>
        <v>-3139422.2084615389</v>
      </c>
      <c r="AG11" s="211">
        <f t="shared" si="1"/>
        <v>-3139422.2084615389</v>
      </c>
    </row>
    <row r="13" spans="1:33" x14ac:dyDescent="0.2">
      <c r="B13" s="198" t="s">
        <v>13</v>
      </c>
      <c r="C13" s="223">
        <f>-C7-C8+C9+C10</f>
        <v>-56537252.428505026</v>
      </c>
      <c r="D13" s="1" t="s">
        <v>0</v>
      </c>
    </row>
    <row r="14" spans="1:33" x14ac:dyDescent="0.2">
      <c r="B14" s="198" t="s">
        <v>14</v>
      </c>
      <c r="C14" s="224" t="e">
        <f>IRR(D11:AG11,-0.1)</f>
        <v>#NUM!</v>
      </c>
    </row>
  </sheetData>
  <sheetProtection algorithmName="SHA-512" hashValue="VrJkC6orrRH4gWRz8iCrmnFn2LzE7NnYCwwKOoB0shR4eELBLhLW3VUg8Tjjwp1Wj6TkxH4GZzQpF5GuBiRR2w==" saltValue="QCtaF2xl9o63lQ0bcvuHIg==" spinCount="100000" sheet="1" objects="1" scenarios="1" selectLockedCells="1"/>
  <phoneticPr fontId="9" type="noConversion"/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6"/>
  <sheetViews>
    <sheetView topLeftCell="E1" workbookViewId="0">
      <selection activeCell="V40" sqref="V40"/>
    </sheetView>
  </sheetViews>
  <sheetFormatPr defaultRowHeight="12.75" x14ac:dyDescent="0.2"/>
  <cols>
    <col min="1" max="1" width="4.85546875" style="225" customWidth="1"/>
    <col min="2" max="2" width="39.42578125" style="225" customWidth="1"/>
    <col min="3" max="16384" width="9.140625" style="225"/>
  </cols>
  <sheetData>
    <row r="2" spans="1:33" x14ac:dyDescent="0.2">
      <c r="A2" s="121" t="s">
        <v>386</v>
      </c>
    </row>
    <row r="5" spans="1:33" x14ac:dyDescent="0.2">
      <c r="B5" s="226"/>
      <c r="C5" s="226"/>
      <c r="D5" s="226" t="s">
        <v>9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</row>
    <row r="6" spans="1:33" x14ac:dyDescent="0.2">
      <c r="B6" s="227"/>
      <c r="C6" s="227"/>
      <c r="D6" s="226">
        <v>1</v>
      </c>
      <c r="E6" s="226">
        <v>2</v>
      </c>
      <c r="F6" s="226">
        <v>3</v>
      </c>
      <c r="G6" s="226">
        <v>4</v>
      </c>
      <c r="H6" s="226">
        <v>5</v>
      </c>
      <c r="I6" s="226">
        <v>6</v>
      </c>
      <c r="J6" s="226">
        <v>7</v>
      </c>
      <c r="K6" s="226">
        <v>8</v>
      </c>
      <c r="L6" s="226">
        <v>9</v>
      </c>
      <c r="M6" s="226">
        <v>10</v>
      </c>
      <c r="N6" s="226">
        <v>11</v>
      </c>
      <c r="O6" s="226">
        <v>12</v>
      </c>
      <c r="P6" s="226">
        <v>13</v>
      </c>
      <c r="Q6" s="226">
        <v>14</v>
      </c>
      <c r="R6" s="226">
        <v>15</v>
      </c>
      <c r="S6" s="226">
        <v>16</v>
      </c>
      <c r="T6" s="226">
        <v>17</v>
      </c>
      <c r="U6" s="226">
        <v>18</v>
      </c>
      <c r="V6" s="226">
        <v>19</v>
      </c>
      <c r="W6" s="226">
        <v>20</v>
      </c>
      <c r="X6" s="226">
        <v>21</v>
      </c>
      <c r="Y6" s="226">
        <v>22</v>
      </c>
      <c r="Z6" s="226">
        <v>23</v>
      </c>
      <c r="AA6" s="226">
        <v>24</v>
      </c>
      <c r="AB6" s="226">
        <v>25</v>
      </c>
      <c r="AC6" s="226">
        <v>26</v>
      </c>
      <c r="AD6" s="226">
        <v>27</v>
      </c>
      <c r="AE6" s="226">
        <v>28</v>
      </c>
      <c r="AF6" s="226">
        <v>29</v>
      </c>
      <c r="AG6" s="226">
        <v>30</v>
      </c>
    </row>
    <row r="7" spans="1:33" x14ac:dyDescent="0.2">
      <c r="B7" s="228" t="s">
        <v>231</v>
      </c>
      <c r="C7" s="228" t="s">
        <v>8</v>
      </c>
      <c r="D7" s="229">
        <v>2022</v>
      </c>
      <c r="E7" s="229">
        <v>2023</v>
      </c>
      <c r="F7" s="229">
        <v>2024</v>
      </c>
      <c r="G7" s="229">
        <v>2025</v>
      </c>
      <c r="H7" s="229">
        <v>2026</v>
      </c>
      <c r="I7" s="229">
        <v>2027</v>
      </c>
      <c r="J7" s="229">
        <v>2028</v>
      </c>
      <c r="K7" s="229">
        <v>2029</v>
      </c>
      <c r="L7" s="229">
        <v>2030</v>
      </c>
      <c r="M7" s="229">
        <v>2031</v>
      </c>
      <c r="N7" s="229">
        <v>2032</v>
      </c>
      <c r="O7" s="229">
        <v>2033</v>
      </c>
      <c r="P7" s="229">
        <v>2034</v>
      </c>
      <c r="Q7" s="229">
        <v>2035</v>
      </c>
      <c r="R7" s="229">
        <v>2036</v>
      </c>
      <c r="S7" s="229">
        <v>2037</v>
      </c>
      <c r="T7" s="229">
        <v>2038</v>
      </c>
      <c r="U7" s="229">
        <v>2039</v>
      </c>
      <c r="V7" s="229">
        <v>2040</v>
      </c>
      <c r="W7" s="229">
        <v>2041</v>
      </c>
      <c r="X7" s="229">
        <v>2042</v>
      </c>
      <c r="Y7" s="229">
        <v>2043</v>
      </c>
      <c r="Z7" s="229">
        <v>2044</v>
      </c>
      <c r="AA7" s="229">
        <v>2045</v>
      </c>
      <c r="AB7" s="229">
        <v>2046</v>
      </c>
      <c r="AC7" s="229">
        <v>2047</v>
      </c>
      <c r="AD7" s="229">
        <v>2048</v>
      </c>
      <c r="AE7" s="229">
        <v>2049</v>
      </c>
      <c r="AF7" s="229">
        <v>2050</v>
      </c>
      <c r="AG7" s="229">
        <v>2051</v>
      </c>
    </row>
    <row r="8" spans="1:33" x14ac:dyDescent="0.2">
      <c r="B8" s="226" t="s">
        <v>232</v>
      </c>
      <c r="C8" s="230">
        <f>SUM(D8:AG8)</f>
        <v>0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</row>
    <row r="9" spans="1:33" x14ac:dyDescent="0.2">
      <c r="B9" s="226" t="s">
        <v>233</v>
      </c>
      <c r="C9" s="230">
        <f>SUM(D9:AG9)</f>
        <v>284120</v>
      </c>
      <c r="D9" s="213">
        <f>'Časy chôdze'!$E$17*Vstupy!C43/Vstupy!$F$43</f>
        <v>8300</v>
      </c>
      <c r="E9" s="213">
        <f>'Časy chôdze'!$E$17*Vstupy!D43/Vstupy!$F$43</f>
        <v>8940</v>
      </c>
      <c r="F9" s="213">
        <f>'Časy chôdze'!$E$17*Vstupy!E43/Vstupy!$F$43</f>
        <v>9300</v>
      </c>
      <c r="G9" s="213">
        <f>'Časy chôdze'!$E$17*Vstupy!F43/Vstupy!$F$43</f>
        <v>9540</v>
      </c>
      <c r="H9" s="213">
        <f>'Časy chôdze'!$E$17*Vstupy!G43/Vstupy!$F$43</f>
        <v>9540</v>
      </c>
      <c r="I9" s="213">
        <f>'Časy chôdze'!$E$17*Vstupy!H43/Vstupy!$F$43</f>
        <v>9540</v>
      </c>
      <c r="J9" s="213">
        <f>'Časy chôdze'!$E$17*Vstupy!I43/Vstupy!$F$43</f>
        <v>9540</v>
      </c>
      <c r="K9" s="213">
        <f>'Časy chôdze'!$E$17*Vstupy!J43/Vstupy!$F$43</f>
        <v>9540</v>
      </c>
      <c r="L9" s="213">
        <f>'Časy chôdze'!$E$17*Vstupy!K43/Vstupy!$F$43</f>
        <v>9540</v>
      </c>
      <c r="M9" s="213">
        <f>'Časy chôdze'!$E$17*Vstupy!L43/Vstupy!$F$43</f>
        <v>9540</v>
      </c>
      <c r="N9" s="213">
        <f>'Časy chôdze'!$E$17*Vstupy!M43/Vstupy!$F$43</f>
        <v>9540</v>
      </c>
      <c r="O9" s="213">
        <f>'Časy chôdze'!$E$17*Vstupy!N43/Vstupy!$F$43</f>
        <v>9540</v>
      </c>
      <c r="P9" s="213">
        <f>'Časy chôdze'!$E$17*Vstupy!O43/Vstupy!$F$43</f>
        <v>9540</v>
      </c>
      <c r="Q9" s="213">
        <f>'Časy chôdze'!$E$17*Vstupy!P43/Vstupy!$F$43</f>
        <v>9540</v>
      </c>
      <c r="R9" s="213">
        <f>'Časy chôdze'!$E$17*Vstupy!Q43/Vstupy!$F$43</f>
        <v>9540</v>
      </c>
      <c r="S9" s="213">
        <f>'Časy chôdze'!$E$17*Vstupy!R43/Vstupy!$F$43</f>
        <v>9540</v>
      </c>
      <c r="T9" s="213">
        <f>'Časy chôdze'!$E$17*Vstupy!S43/Vstupy!$F$43</f>
        <v>9540</v>
      </c>
      <c r="U9" s="213">
        <f>'Časy chôdze'!$E$17*Vstupy!T43/Vstupy!$F$43</f>
        <v>9540</v>
      </c>
      <c r="V9" s="213">
        <f>'Časy chôdze'!$E$17*Vstupy!U43/Vstupy!$F$43</f>
        <v>9540</v>
      </c>
      <c r="W9" s="213">
        <f>'Časy chôdze'!$E$17*Vstupy!V43/Vstupy!$F$43</f>
        <v>9540</v>
      </c>
      <c r="X9" s="213">
        <f>'Časy chôdze'!$E$17*Vstupy!W43/Vstupy!$F$43</f>
        <v>9540</v>
      </c>
      <c r="Y9" s="213">
        <f>'Časy chôdze'!$E$17*Vstupy!X43/Vstupy!$F$43</f>
        <v>9540</v>
      </c>
      <c r="Z9" s="213">
        <f>'Časy chôdze'!$E$17*Vstupy!Y43/Vstupy!$F$43</f>
        <v>9540</v>
      </c>
      <c r="AA9" s="213">
        <f>'Časy chôdze'!$E$17*Vstupy!Z43/Vstupy!$F$43</f>
        <v>9540</v>
      </c>
      <c r="AB9" s="213">
        <f>'Časy chôdze'!$E$17*Vstupy!AA43/Vstupy!$F$43</f>
        <v>9540</v>
      </c>
      <c r="AC9" s="213">
        <f>'Časy chôdze'!$E$17*Vstupy!AB43/Vstupy!$F$43</f>
        <v>9540</v>
      </c>
      <c r="AD9" s="213">
        <f>'Časy chôdze'!$E$17*Vstupy!AC43/Vstupy!$F$43</f>
        <v>9540</v>
      </c>
      <c r="AE9" s="213">
        <f>'Časy chôdze'!$E$17*Vstupy!AD43/Vstupy!$F$43</f>
        <v>9540</v>
      </c>
      <c r="AF9" s="213">
        <f>'Časy chôdze'!$E$17*Vstupy!AE43/Vstupy!$F$43</f>
        <v>9540</v>
      </c>
      <c r="AG9" s="213">
        <f>'Časy chôdze'!$E$17*Vstupy!AF43/Vstupy!$F$43</f>
        <v>9540</v>
      </c>
    </row>
    <row r="10" spans="1:33" ht="13.5" thickBot="1" x14ac:dyDescent="0.25">
      <c r="B10" s="231" t="s">
        <v>234</v>
      </c>
      <c r="C10" s="230">
        <f t="shared" ref="C10" si="0">SUM(D10:AG10)</f>
        <v>-284120</v>
      </c>
      <c r="D10" s="232">
        <f t="shared" ref="D10:AG10" si="1">D8-D9</f>
        <v>-8300</v>
      </c>
      <c r="E10" s="232">
        <f t="shared" si="1"/>
        <v>-8940</v>
      </c>
      <c r="F10" s="232">
        <f t="shared" si="1"/>
        <v>-9300</v>
      </c>
      <c r="G10" s="232">
        <f t="shared" si="1"/>
        <v>-9540</v>
      </c>
      <c r="H10" s="232">
        <f t="shared" si="1"/>
        <v>-9540</v>
      </c>
      <c r="I10" s="232">
        <f t="shared" si="1"/>
        <v>-9540</v>
      </c>
      <c r="J10" s="232">
        <f t="shared" si="1"/>
        <v>-9540</v>
      </c>
      <c r="K10" s="232">
        <f t="shared" si="1"/>
        <v>-9540</v>
      </c>
      <c r="L10" s="232">
        <f t="shared" si="1"/>
        <v>-9540</v>
      </c>
      <c r="M10" s="232">
        <f t="shared" si="1"/>
        <v>-9540</v>
      </c>
      <c r="N10" s="232">
        <f t="shared" si="1"/>
        <v>-9540</v>
      </c>
      <c r="O10" s="232">
        <f t="shared" si="1"/>
        <v>-9540</v>
      </c>
      <c r="P10" s="232">
        <f t="shared" si="1"/>
        <v>-9540</v>
      </c>
      <c r="Q10" s="232">
        <f t="shared" si="1"/>
        <v>-9540</v>
      </c>
      <c r="R10" s="232">
        <f t="shared" si="1"/>
        <v>-9540</v>
      </c>
      <c r="S10" s="232">
        <f t="shared" si="1"/>
        <v>-9540</v>
      </c>
      <c r="T10" s="232">
        <f t="shared" si="1"/>
        <v>-9540</v>
      </c>
      <c r="U10" s="232">
        <f t="shared" si="1"/>
        <v>-9540</v>
      </c>
      <c r="V10" s="232">
        <f t="shared" si="1"/>
        <v>-9540</v>
      </c>
      <c r="W10" s="232">
        <f t="shared" si="1"/>
        <v>-9540</v>
      </c>
      <c r="X10" s="232">
        <f t="shared" si="1"/>
        <v>-9540</v>
      </c>
      <c r="Y10" s="232">
        <f t="shared" si="1"/>
        <v>-9540</v>
      </c>
      <c r="Z10" s="232">
        <f t="shared" si="1"/>
        <v>-9540</v>
      </c>
      <c r="AA10" s="232">
        <f t="shared" si="1"/>
        <v>-9540</v>
      </c>
      <c r="AB10" s="232">
        <f t="shared" si="1"/>
        <v>-9540</v>
      </c>
      <c r="AC10" s="232">
        <f t="shared" si="1"/>
        <v>-9540</v>
      </c>
      <c r="AD10" s="232">
        <f t="shared" si="1"/>
        <v>-9540</v>
      </c>
      <c r="AE10" s="232">
        <f t="shared" si="1"/>
        <v>-9540</v>
      </c>
      <c r="AF10" s="232">
        <f t="shared" si="1"/>
        <v>-9540</v>
      </c>
      <c r="AG10" s="232">
        <f t="shared" si="1"/>
        <v>-9540</v>
      </c>
    </row>
    <row r="11" spans="1:33" ht="13.5" thickTop="1" x14ac:dyDescent="0.2">
      <c r="B11" s="233" t="s">
        <v>86</v>
      </c>
      <c r="C11" s="230">
        <f>SUM(D11:AG11)</f>
        <v>-284120</v>
      </c>
      <c r="D11" s="234">
        <f>D10</f>
        <v>-8300</v>
      </c>
      <c r="E11" s="234">
        <f t="shared" ref="E11:AG11" si="2">E10</f>
        <v>-8940</v>
      </c>
      <c r="F11" s="234">
        <f t="shared" si="2"/>
        <v>-9300</v>
      </c>
      <c r="G11" s="234">
        <f t="shared" si="2"/>
        <v>-9540</v>
      </c>
      <c r="H11" s="234">
        <f t="shared" si="2"/>
        <v>-9540</v>
      </c>
      <c r="I11" s="234">
        <f t="shared" si="2"/>
        <v>-9540</v>
      </c>
      <c r="J11" s="234">
        <f t="shared" si="2"/>
        <v>-9540</v>
      </c>
      <c r="K11" s="234">
        <f t="shared" si="2"/>
        <v>-9540</v>
      </c>
      <c r="L11" s="234">
        <f t="shared" si="2"/>
        <v>-9540</v>
      </c>
      <c r="M11" s="234">
        <f t="shared" si="2"/>
        <v>-9540</v>
      </c>
      <c r="N11" s="234">
        <f t="shared" si="2"/>
        <v>-9540</v>
      </c>
      <c r="O11" s="234">
        <f t="shared" si="2"/>
        <v>-9540</v>
      </c>
      <c r="P11" s="234">
        <f t="shared" si="2"/>
        <v>-9540</v>
      </c>
      <c r="Q11" s="234">
        <f t="shared" si="2"/>
        <v>-9540</v>
      </c>
      <c r="R11" s="234">
        <f t="shared" si="2"/>
        <v>-9540</v>
      </c>
      <c r="S11" s="234">
        <f t="shared" si="2"/>
        <v>-9540</v>
      </c>
      <c r="T11" s="234">
        <f t="shared" si="2"/>
        <v>-9540</v>
      </c>
      <c r="U11" s="234">
        <f t="shared" si="2"/>
        <v>-9540</v>
      </c>
      <c r="V11" s="234">
        <f t="shared" si="2"/>
        <v>-9540</v>
      </c>
      <c r="W11" s="234">
        <f t="shared" si="2"/>
        <v>-9540</v>
      </c>
      <c r="X11" s="234">
        <f t="shared" si="2"/>
        <v>-9540</v>
      </c>
      <c r="Y11" s="234">
        <f t="shared" si="2"/>
        <v>-9540</v>
      </c>
      <c r="Z11" s="234">
        <f t="shared" si="2"/>
        <v>-9540</v>
      </c>
      <c r="AA11" s="234">
        <f t="shared" si="2"/>
        <v>-9540</v>
      </c>
      <c r="AB11" s="234">
        <f t="shared" si="2"/>
        <v>-9540</v>
      </c>
      <c r="AC11" s="234">
        <f t="shared" si="2"/>
        <v>-9540</v>
      </c>
      <c r="AD11" s="234">
        <f t="shared" si="2"/>
        <v>-9540</v>
      </c>
      <c r="AE11" s="234">
        <f t="shared" si="2"/>
        <v>-9540</v>
      </c>
      <c r="AF11" s="234">
        <f t="shared" si="2"/>
        <v>-9540</v>
      </c>
      <c r="AG11" s="234">
        <f t="shared" si="2"/>
        <v>-9540</v>
      </c>
    </row>
    <row r="12" spans="1:33" x14ac:dyDescent="0.2">
      <c r="B12" s="235"/>
    </row>
    <row r="14" spans="1:33" x14ac:dyDescent="0.2">
      <c r="B14" s="236" t="s">
        <v>229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</row>
    <row r="15" spans="1:33" x14ac:dyDescent="0.2">
      <c r="B15" s="238" t="s">
        <v>86</v>
      </c>
      <c r="C15" s="230">
        <f t="shared" ref="C15" si="3">SUM(D15:AG15)</f>
        <v>-5299416</v>
      </c>
      <c r="D15" s="230">
        <f>D11*Parametre!D48</f>
        <v>-133962</v>
      </c>
      <c r="E15" s="230">
        <f>E11*Parametre!E48</f>
        <v>-146794.80000000002</v>
      </c>
      <c r="F15" s="230">
        <f>F11*Parametre!F48</f>
        <v>-153450</v>
      </c>
      <c r="G15" s="230">
        <f>G11*Parametre!G48</f>
        <v>-159318</v>
      </c>
      <c r="H15" s="230">
        <f>H11*Parametre!H48</f>
        <v>-161226</v>
      </c>
      <c r="I15" s="230">
        <f>I11*Parametre!I48</f>
        <v>-163134</v>
      </c>
      <c r="J15" s="230">
        <f>J11*Parametre!J48</f>
        <v>-165042</v>
      </c>
      <c r="K15" s="230">
        <f>K11*Parametre!K48</f>
        <v>-167045.40000000002</v>
      </c>
      <c r="L15" s="230">
        <f>L11*Parametre!L48</f>
        <v>-169048.8</v>
      </c>
      <c r="M15" s="230">
        <f>M11*Parametre!M48</f>
        <v>-170479.80000000002</v>
      </c>
      <c r="N15" s="230">
        <f>N11*Parametre!N48</f>
        <v>-171910.8</v>
      </c>
      <c r="O15" s="230">
        <f>O11*Parametre!O48</f>
        <v>-173341.80000000002</v>
      </c>
      <c r="P15" s="230">
        <f>P11*Parametre!P48</f>
        <v>-174772.8</v>
      </c>
      <c r="Q15" s="230">
        <f>Q11*Parametre!Q48</f>
        <v>-176203.8</v>
      </c>
      <c r="R15" s="230">
        <f>R11*Parametre!R48</f>
        <v>-177730.19999999998</v>
      </c>
      <c r="S15" s="230">
        <f>S11*Parametre!S48</f>
        <v>-179256.6</v>
      </c>
      <c r="T15" s="230">
        <f>T11*Parametre!T48</f>
        <v>-180783</v>
      </c>
      <c r="U15" s="230">
        <f>U11*Parametre!U48</f>
        <v>-182309.4</v>
      </c>
      <c r="V15" s="230">
        <f>V11*Parametre!V48</f>
        <v>-183835.8</v>
      </c>
      <c r="W15" s="230">
        <f>W11*Parametre!W48</f>
        <v>-185076</v>
      </c>
      <c r="X15" s="230">
        <f>X11*Parametre!X48</f>
        <v>-186411.6</v>
      </c>
      <c r="Y15" s="230">
        <f>Y11*Parametre!Y48</f>
        <v>-187747.20000000001</v>
      </c>
      <c r="Z15" s="230">
        <f>Z11*Parametre!Z48</f>
        <v>-189082.8</v>
      </c>
      <c r="AA15" s="230">
        <f>AA11*Parametre!AA48</f>
        <v>-190418.4</v>
      </c>
      <c r="AB15" s="230">
        <f>AB11*Parametre!AB48</f>
        <v>-191754</v>
      </c>
      <c r="AC15" s="230">
        <f>AC11*Parametre!AC48</f>
        <v>-193089.59999999998</v>
      </c>
      <c r="AD15" s="230">
        <f>AD11*Parametre!AD48</f>
        <v>-194425.19999999998</v>
      </c>
      <c r="AE15" s="230">
        <f>AE11*Parametre!AE48</f>
        <v>-195760.8</v>
      </c>
      <c r="AF15" s="230">
        <f>AF11*Parametre!AF48</f>
        <v>-197096.4</v>
      </c>
      <c r="AG15" s="230">
        <f>AG11*Parametre!AG48</f>
        <v>-198909</v>
      </c>
    </row>
    <row r="16" spans="1:33" x14ac:dyDescent="0.2">
      <c r="B16" s="239" t="s">
        <v>230</v>
      </c>
      <c r="C16" s="240">
        <f>SUM(D16:AG16)</f>
        <v>-5299416</v>
      </c>
      <c r="D16" s="240">
        <f t="shared" ref="D16:AG16" si="4">SUM(D15:D15)</f>
        <v>-133962</v>
      </c>
      <c r="E16" s="240">
        <f t="shared" si="4"/>
        <v>-146794.80000000002</v>
      </c>
      <c r="F16" s="240">
        <f t="shared" si="4"/>
        <v>-153450</v>
      </c>
      <c r="G16" s="240">
        <f t="shared" si="4"/>
        <v>-159318</v>
      </c>
      <c r="H16" s="240">
        <f t="shared" si="4"/>
        <v>-161226</v>
      </c>
      <c r="I16" s="240">
        <f t="shared" si="4"/>
        <v>-163134</v>
      </c>
      <c r="J16" s="240">
        <f t="shared" si="4"/>
        <v>-165042</v>
      </c>
      <c r="K16" s="240">
        <f t="shared" si="4"/>
        <v>-167045.40000000002</v>
      </c>
      <c r="L16" s="240">
        <f t="shared" si="4"/>
        <v>-169048.8</v>
      </c>
      <c r="M16" s="240">
        <f t="shared" si="4"/>
        <v>-170479.80000000002</v>
      </c>
      <c r="N16" s="240">
        <f t="shared" si="4"/>
        <v>-171910.8</v>
      </c>
      <c r="O16" s="240">
        <f t="shared" si="4"/>
        <v>-173341.80000000002</v>
      </c>
      <c r="P16" s="240">
        <f t="shared" si="4"/>
        <v>-174772.8</v>
      </c>
      <c r="Q16" s="240">
        <f t="shared" si="4"/>
        <v>-176203.8</v>
      </c>
      <c r="R16" s="240">
        <f t="shared" si="4"/>
        <v>-177730.19999999998</v>
      </c>
      <c r="S16" s="240">
        <f t="shared" si="4"/>
        <v>-179256.6</v>
      </c>
      <c r="T16" s="240">
        <f t="shared" si="4"/>
        <v>-180783</v>
      </c>
      <c r="U16" s="240">
        <f t="shared" si="4"/>
        <v>-182309.4</v>
      </c>
      <c r="V16" s="240">
        <f t="shared" si="4"/>
        <v>-183835.8</v>
      </c>
      <c r="W16" s="240">
        <f t="shared" si="4"/>
        <v>-185076</v>
      </c>
      <c r="X16" s="240">
        <f t="shared" si="4"/>
        <v>-186411.6</v>
      </c>
      <c r="Y16" s="240">
        <f t="shared" si="4"/>
        <v>-187747.20000000001</v>
      </c>
      <c r="Z16" s="240">
        <f t="shared" si="4"/>
        <v>-189082.8</v>
      </c>
      <c r="AA16" s="240">
        <f t="shared" si="4"/>
        <v>-190418.4</v>
      </c>
      <c r="AB16" s="240">
        <f t="shared" si="4"/>
        <v>-191754</v>
      </c>
      <c r="AC16" s="240">
        <f t="shared" si="4"/>
        <v>-193089.59999999998</v>
      </c>
      <c r="AD16" s="240">
        <f t="shared" si="4"/>
        <v>-194425.19999999998</v>
      </c>
      <c r="AE16" s="240">
        <f t="shared" si="4"/>
        <v>-195760.8</v>
      </c>
      <c r="AF16" s="240">
        <f t="shared" si="4"/>
        <v>-197096.4</v>
      </c>
      <c r="AG16" s="240">
        <f t="shared" si="4"/>
        <v>-198909</v>
      </c>
    </row>
  </sheetData>
  <sheetProtection algorithmName="SHA-512" hashValue="E6BPB/2LbdDisuTFQPISO9CEMKfKiT5hgTVJwC6sflN4+UYvF87+uCLdRYhM3+X8DsRGPBF25/rifyrxVZ3T1A==" saltValue="/4iZ9ncT0rzRGG1ZLeQwTQ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7"/>
  <sheetViews>
    <sheetView topLeftCell="E1" workbookViewId="0">
      <selection activeCell="W40" sqref="W40"/>
    </sheetView>
  </sheetViews>
  <sheetFormatPr defaultRowHeight="12.75" x14ac:dyDescent="0.2"/>
  <cols>
    <col min="1" max="1" width="5.42578125" style="225" customWidth="1"/>
    <col min="2" max="2" width="57.140625" style="225" customWidth="1"/>
    <col min="3" max="3" width="15.140625" style="225" customWidth="1"/>
    <col min="4" max="4" width="12.5703125" style="225" customWidth="1"/>
    <col min="5" max="16384" width="9.140625" style="225"/>
  </cols>
  <sheetData>
    <row r="2" spans="1:33" x14ac:dyDescent="0.2">
      <c r="A2" s="121" t="s">
        <v>386</v>
      </c>
    </row>
    <row r="6" spans="1:33" x14ac:dyDescent="0.2">
      <c r="B6" s="241" t="s">
        <v>241</v>
      </c>
      <c r="C6" s="241"/>
      <c r="D6" s="242" t="s">
        <v>9</v>
      </c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</row>
    <row r="7" spans="1:33" x14ac:dyDescent="0.2">
      <c r="B7" s="243"/>
      <c r="C7" s="243"/>
      <c r="D7" s="244">
        <v>1</v>
      </c>
      <c r="E7" s="244">
        <v>2</v>
      </c>
      <c r="F7" s="244">
        <v>3</v>
      </c>
      <c r="G7" s="244">
        <v>4</v>
      </c>
      <c r="H7" s="244">
        <v>5</v>
      </c>
      <c r="I7" s="244">
        <v>6</v>
      </c>
      <c r="J7" s="244">
        <v>7</v>
      </c>
      <c r="K7" s="244">
        <v>8</v>
      </c>
      <c r="L7" s="244">
        <v>9</v>
      </c>
      <c r="M7" s="244">
        <v>10</v>
      </c>
      <c r="N7" s="244">
        <v>11</v>
      </c>
      <c r="O7" s="244">
        <v>12</v>
      </c>
      <c r="P7" s="244">
        <v>13</v>
      </c>
      <c r="Q7" s="244">
        <v>14</v>
      </c>
      <c r="R7" s="244">
        <v>15</v>
      </c>
      <c r="S7" s="244">
        <v>16</v>
      </c>
      <c r="T7" s="244">
        <v>17</v>
      </c>
      <c r="U7" s="244">
        <v>18</v>
      </c>
      <c r="V7" s="244">
        <v>19</v>
      </c>
      <c r="W7" s="244">
        <v>20</v>
      </c>
      <c r="X7" s="244">
        <v>21</v>
      </c>
      <c r="Y7" s="244">
        <v>22</v>
      </c>
      <c r="Z7" s="244">
        <v>23</v>
      </c>
      <c r="AA7" s="244">
        <v>24</v>
      </c>
      <c r="AB7" s="244">
        <v>25</v>
      </c>
      <c r="AC7" s="244">
        <v>26</v>
      </c>
      <c r="AD7" s="244">
        <v>27</v>
      </c>
      <c r="AE7" s="244">
        <v>28</v>
      </c>
      <c r="AF7" s="244">
        <v>29</v>
      </c>
      <c r="AG7" s="244">
        <v>30</v>
      </c>
    </row>
    <row r="8" spans="1:33" ht="22.5" x14ac:dyDescent="0.2">
      <c r="B8" s="245" t="s">
        <v>32</v>
      </c>
      <c r="C8" s="246" t="s">
        <v>236</v>
      </c>
      <c r="D8" s="247">
        <f>'06 Finančná analýza'!D6</f>
        <v>2022</v>
      </c>
      <c r="E8" s="247">
        <f>'06 Finančná analýza'!E6</f>
        <v>2023</v>
      </c>
      <c r="F8" s="247">
        <f>'06 Finančná analýza'!F6</f>
        <v>2024</v>
      </c>
      <c r="G8" s="247">
        <f>'06 Finančná analýza'!G6</f>
        <v>2025</v>
      </c>
      <c r="H8" s="247">
        <f>'06 Finančná analýza'!H6</f>
        <v>2026</v>
      </c>
      <c r="I8" s="247">
        <f>'06 Finančná analýza'!I6</f>
        <v>2027</v>
      </c>
      <c r="J8" s="247">
        <f>'06 Finančná analýza'!J6</f>
        <v>2028</v>
      </c>
      <c r="K8" s="247">
        <f>'06 Finančná analýza'!K6</f>
        <v>2029</v>
      </c>
      <c r="L8" s="247">
        <f>'06 Finančná analýza'!L6</f>
        <v>2030</v>
      </c>
      <c r="M8" s="247">
        <f>'06 Finančná analýza'!M6</f>
        <v>2031</v>
      </c>
      <c r="N8" s="247">
        <f>'06 Finančná analýza'!N6</f>
        <v>2032</v>
      </c>
      <c r="O8" s="247">
        <f>'06 Finančná analýza'!O6</f>
        <v>2033</v>
      </c>
      <c r="P8" s="247">
        <f>'06 Finančná analýza'!P6</f>
        <v>2034</v>
      </c>
      <c r="Q8" s="247">
        <f>'06 Finančná analýza'!Q6</f>
        <v>2035</v>
      </c>
      <c r="R8" s="247">
        <f>'06 Finančná analýza'!R6</f>
        <v>2036</v>
      </c>
      <c r="S8" s="247">
        <f>'06 Finančná analýza'!S6</f>
        <v>2037</v>
      </c>
      <c r="T8" s="247">
        <f>'06 Finančná analýza'!T6</f>
        <v>2038</v>
      </c>
      <c r="U8" s="247">
        <f>'06 Finančná analýza'!U6</f>
        <v>2039</v>
      </c>
      <c r="V8" s="247">
        <f>'06 Finančná analýza'!V6</f>
        <v>2040</v>
      </c>
      <c r="W8" s="247">
        <f>'06 Finančná analýza'!W6</f>
        <v>2041</v>
      </c>
      <c r="X8" s="247">
        <f>'06 Finančná analýza'!X6</f>
        <v>2042</v>
      </c>
      <c r="Y8" s="247">
        <f>'06 Finančná analýza'!Y6</f>
        <v>2043</v>
      </c>
      <c r="Z8" s="247">
        <f>'06 Finančná analýza'!Z6</f>
        <v>2044</v>
      </c>
      <c r="AA8" s="247">
        <f>'06 Finančná analýza'!AA6</f>
        <v>2045</v>
      </c>
      <c r="AB8" s="247">
        <f>'06 Finančná analýza'!AB6</f>
        <v>2046</v>
      </c>
      <c r="AC8" s="247">
        <f>'06 Finančná analýza'!AC6</f>
        <v>2047</v>
      </c>
      <c r="AD8" s="247">
        <f>'06 Finančná analýza'!AD6</f>
        <v>2048</v>
      </c>
      <c r="AE8" s="247">
        <f>'06 Finančná analýza'!AE6</f>
        <v>2049</v>
      </c>
      <c r="AF8" s="247">
        <f>'06 Finančná analýza'!AF6</f>
        <v>2050</v>
      </c>
      <c r="AG8" s="247">
        <f>'06 Finančná analýza'!AG6</f>
        <v>2051</v>
      </c>
    </row>
    <row r="9" spans="1:33" x14ac:dyDescent="0.2">
      <c r="B9" s="242" t="s">
        <v>202</v>
      </c>
      <c r="C9" s="248">
        <f>D9+NPV(Parametre!$C$10,E9:AG9)</f>
        <v>0</v>
      </c>
      <c r="D9" s="249">
        <f>'01 Investičné výdavky'!E81</f>
        <v>0</v>
      </c>
      <c r="E9" s="249">
        <f>'01 Investičné výdavky'!F81</f>
        <v>0</v>
      </c>
      <c r="F9" s="249">
        <f>'01 Investičné výdavky'!G81</f>
        <v>0</v>
      </c>
      <c r="G9" s="249">
        <f>'01 Investičné výdavky'!H81</f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0</v>
      </c>
      <c r="Q9" s="249">
        <v>0</v>
      </c>
      <c r="R9" s="249">
        <v>0</v>
      </c>
      <c r="S9" s="249">
        <v>0</v>
      </c>
      <c r="T9" s="249">
        <v>0</v>
      </c>
      <c r="U9" s="249">
        <v>0</v>
      </c>
      <c r="V9" s="249">
        <v>0</v>
      </c>
      <c r="W9" s="249">
        <v>0</v>
      </c>
      <c r="X9" s="249">
        <v>0</v>
      </c>
      <c r="Y9" s="249">
        <v>0</v>
      </c>
      <c r="Z9" s="249">
        <v>0</v>
      </c>
      <c r="AA9" s="249">
        <v>0</v>
      </c>
      <c r="AB9" s="249">
        <v>0</v>
      </c>
      <c r="AC9" s="249">
        <v>0</v>
      </c>
      <c r="AD9" s="249">
        <v>0</v>
      </c>
      <c r="AE9" s="249">
        <v>0</v>
      </c>
      <c r="AF9" s="249">
        <v>0</v>
      </c>
      <c r="AG9" s="249">
        <v>0</v>
      </c>
    </row>
    <row r="10" spans="1:33" x14ac:dyDescent="0.2">
      <c r="B10" s="242" t="s">
        <v>251</v>
      </c>
      <c r="C10" s="248">
        <f>D10+NPV(Parametre!$C$10,E10:AG10)</f>
        <v>45677181.761907764</v>
      </c>
      <c r="D10" s="249">
        <f>'03 Prevádzkové výdavky'!D45</f>
        <v>2896381.3756153849</v>
      </c>
      <c r="E10" s="249">
        <f>'03 Prevádzkové výdavky'!E45</f>
        <v>2825479.9876153851</v>
      </c>
      <c r="F10" s="249">
        <f>'03 Prevádzkové výdavky'!F45</f>
        <v>2825479.9876153851</v>
      </c>
      <c r="G10" s="249">
        <f>'03 Prevádzkové výdavky'!G45</f>
        <v>2825479.9876153851</v>
      </c>
      <c r="H10" s="249">
        <f>'03 Prevádzkové výdavky'!H45</f>
        <v>2825479.9876153851</v>
      </c>
      <c r="I10" s="249">
        <f>'03 Prevádzkové výdavky'!I45</f>
        <v>2825479.9876153851</v>
      </c>
      <c r="J10" s="249">
        <f>'03 Prevádzkové výdavky'!J45</f>
        <v>2825479.9876153851</v>
      </c>
      <c r="K10" s="249">
        <f>'03 Prevádzkové výdavky'!K45</f>
        <v>2825479.9876153851</v>
      </c>
      <c r="L10" s="249">
        <f>'03 Prevádzkové výdavky'!L45</f>
        <v>2825479.9876153851</v>
      </c>
      <c r="M10" s="249">
        <f>'03 Prevádzkové výdavky'!M45</f>
        <v>2825479.9876153851</v>
      </c>
      <c r="N10" s="249">
        <f>'03 Prevádzkové výdavky'!N45</f>
        <v>2825479.9876153851</v>
      </c>
      <c r="O10" s="249">
        <f>'03 Prevádzkové výdavky'!O45</f>
        <v>2825479.9876153851</v>
      </c>
      <c r="P10" s="249">
        <f>'03 Prevádzkové výdavky'!P45</f>
        <v>2825479.9876153851</v>
      </c>
      <c r="Q10" s="249">
        <f>'03 Prevádzkové výdavky'!Q45</f>
        <v>2825479.9876153851</v>
      </c>
      <c r="R10" s="249">
        <f>'03 Prevádzkové výdavky'!R45</f>
        <v>2825479.9876153851</v>
      </c>
      <c r="S10" s="249">
        <f>'03 Prevádzkové výdavky'!S45</f>
        <v>2825479.9876153851</v>
      </c>
      <c r="T10" s="249">
        <f>'03 Prevádzkové výdavky'!T45</f>
        <v>2825479.9876153851</v>
      </c>
      <c r="U10" s="249">
        <f>'03 Prevádzkové výdavky'!U45</f>
        <v>2825479.9876153851</v>
      </c>
      <c r="V10" s="249">
        <f>'03 Prevádzkové výdavky'!V45</f>
        <v>2825479.9876153851</v>
      </c>
      <c r="W10" s="249">
        <f>'03 Prevádzkové výdavky'!W45</f>
        <v>2825479.9876153851</v>
      </c>
      <c r="X10" s="249">
        <f>'03 Prevádzkové výdavky'!X45</f>
        <v>2825479.9876153851</v>
      </c>
      <c r="Y10" s="249">
        <f>'03 Prevádzkové výdavky'!Y45</f>
        <v>2825479.9876153851</v>
      </c>
      <c r="Z10" s="249">
        <f>'03 Prevádzkové výdavky'!Z45</f>
        <v>2825479.9876153851</v>
      </c>
      <c r="AA10" s="249">
        <f>'03 Prevádzkové výdavky'!AA45</f>
        <v>2825479.9876153851</v>
      </c>
      <c r="AB10" s="249">
        <f>'03 Prevádzkové výdavky'!AB45</f>
        <v>2825479.9876153851</v>
      </c>
      <c r="AC10" s="249">
        <f>'03 Prevádzkové výdavky'!AC45</f>
        <v>2825479.9876153851</v>
      </c>
      <c r="AD10" s="249">
        <f>'03 Prevádzkové výdavky'!AD45</f>
        <v>2825479.9876153851</v>
      </c>
      <c r="AE10" s="249">
        <f>'03 Prevádzkové výdavky'!AE45</f>
        <v>2825479.9876153851</v>
      </c>
      <c r="AF10" s="249">
        <f>'03 Prevádzkové výdavky'!AF45</f>
        <v>2825479.9876153851</v>
      </c>
      <c r="AG10" s="249">
        <f>'03 Prevádzkové výdavky'!AG45</f>
        <v>2825479.9876153851</v>
      </c>
    </row>
    <row r="11" spans="1:33" x14ac:dyDescent="0.2">
      <c r="B11" s="243" t="s">
        <v>212</v>
      </c>
      <c r="C11" s="250">
        <f>D11+NPV(Parametre!$C$10,E11:AG11)</f>
        <v>45677181.761907764</v>
      </c>
      <c r="D11" s="251">
        <f t="shared" ref="D11:AG11" si="0">D10+D9-D14</f>
        <v>2896381.3756153849</v>
      </c>
      <c r="E11" s="251">
        <f t="shared" si="0"/>
        <v>2825479.9876153851</v>
      </c>
      <c r="F11" s="251">
        <f t="shared" si="0"/>
        <v>2825479.9876153851</v>
      </c>
      <c r="G11" s="251">
        <f t="shared" si="0"/>
        <v>2825479.9876153851</v>
      </c>
      <c r="H11" s="251">
        <f t="shared" si="0"/>
        <v>2825479.9876153851</v>
      </c>
      <c r="I11" s="251">
        <f t="shared" si="0"/>
        <v>2825479.9876153851</v>
      </c>
      <c r="J11" s="251">
        <f t="shared" si="0"/>
        <v>2825479.9876153851</v>
      </c>
      <c r="K11" s="251">
        <f t="shared" si="0"/>
        <v>2825479.9876153851</v>
      </c>
      <c r="L11" s="251">
        <f t="shared" si="0"/>
        <v>2825479.9876153851</v>
      </c>
      <c r="M11" s="251">
        <f t="shared" si="0"/>
        <v>2825479.9876153851</v>
      </c>
      <c r="N11" s="251">
        <f t="shared" si="0"/>
        <v>2825479.9876153851</v>
      </c>
      <c r="O11" s="251">
        <f t="shared" si="0"/>
        <v>2825479.9876153851</v>
      </c>
      <c r="P11" s="251">
        <f t="shared" si="0"/>
        <v>2825479.9876153851</v>
      </c>
      <c r="Q11" s="251">
        <f t="shared" si="0"/>
        <v>2825479.9876153851</v>
      </c>
      <c r="R11" s="251">
        <f t="shared" si="0"/>
        <v>2825479.9876153851</v>
      </c>
      <c r="S11" s="251">
        <f t="shared" si="0"/>
        <v>2825479.9876153851</v>
      </c>
      <c r="T11" s="251">
        <f t="shared" si="0"/>
        <v>2825479.9876153851</v>
      </c>
      <c r="U11" s="251">
        <f t="shared" si="0"/>
        <v>2825479.9876153851</v>
      </c>
      <c r="V11" s="251">
        <f t="shared" si="0"/>
        <v>2825479.9876153851</v>
      </c>
      <c r="W11" s="251">
        <f t="shared" si="0"/>
        <v>2825479.9876153851</v>
      </c>
      <c r="X11" s="251">
        <f t="shared" si="0"/>
        <v>2825479.9876153851</v>
      </c>
      <c r="Y11" s="251">
        <f t="shared" si="0"/>
        <v>2825479.9876153851</v>
      </c>
      <c r="Z11" s="251">
        <f t="shared" si="0"/>
        <v>2825479.9876153851</v>
      </c>
      <c r="AA11" s="251">
        <f t="shared" si="0"/>
        <v>2825479.9876153851</v>
      </c>
      <c r="AB11" s="251">
        <f t="shared" si="0"/>
        <v>2825479.9876153851</v>
      </c>
      <c r="AC11" s="251">
        <f t="shared" si="0"/>
        <v>2825479.9876153851</v>
      </c>
      <c r="AD11" s="251">
        <f t="shared" si="0"/>
        <v>2825479.9876153851</v>
      </c>
      <c r="AE11" s="251">
        <f t="shared" si="0"/>
        <v>2825479.9876153851</v>
      </c>
      <c r="AF11" s="251">
        <f t="shared" si="0"/>
        <v>2825479.9876153851</v>
      </c>
      <c r="AG11" s="251">
        <f t="shared" si="0"/>
        <v>2825479.9876153851</v>
      </c>
    </row>
    <row r="12" spans="1:33" x14ac:dyDescent="0.2">
      <c r="B12" s="242" t="s">
        <v>387</v>
      </c>
      <c r="C12" s="248">
        <f>D12+NPV(Parametre!$C$10,E12:AG12)</f>
        <v>-2749325.4652348584</v>
      </c>
      <c r="D12" s="249">
        <f>'07 Strata produktivity'!D16</f>
        <v>-133962</v>
      </c>
      <c r="E12" s="249">
        <f>'07 Strata produktivity'!E16</f>
        <v>-146794.80000000002</v>
      </c>
      <c r="F12" s="249">
        <f>'07 Strata produktivity'!F16</f>
        <v>-153450</v>
      </c>
      <c r="G12" s="249">
        <f>'07 Strata produktivity'!G16</f>
        <v>-159318</v>
      </c>
      <c r="H12" s="249">
        <f>'07 Strata produktivity'!H16</f>
        <v>-161226</v>
      </c>
      <c r="I12" s="249">
        <f>'07 Strata produktivity'!I16</f>
        <v>-163134</v>
      </c>
      <c r="J12" s="249">
        <f>'07 Strata produktivity'!J16</f>
        <v>-165042</v>
      </c>
      <c r="K12" s="249">
        <f>'07 Strata produktivity'!K16</f>
        <v>-167045.40000000002</v>
      </c>
      <c r="L12" s="249">
        <f>'07 Strata produktivity'!L16</f>
        <v>-169048.8</v>
      </c>
      <c r="M12" s="249">
        <f>'07 Strata produktivity'!M16</f>
        <v>-170479.80000000002</v>
      </c>
      <c r="N12" s="249">
        <f>'07 Strata produktivity'!N16</f>
        <v>-171910.8</v>
      </c>
      <c r="O12" s="249">
        <f>'07 Strata produktivity'!O16</f>
        <v>-173341.80000000002</v>
      </c>
      <c r="P12" s="249">
        <f>'07 Strata produktivity'!P16</f>
        <v>-174772.8</v>
      </c>
      <c r="Q12" s="249">
        <f>'07 Strata produktivity'!Q16</f>
        <v>-176203.8</v>
      </c>
      <c r="R12" s="249">
        <f>'07 Strata produktivity'!R16</f>
        <v>-177730.19999999998</v>
      </c>
      <c r="S12" s="249">
        <f>'07 Strata produktivity'!S16</f>
        <v>-179256.6</v>
      </c>
      <c r="T12" s="249">
        <f>'07 Strata produktivity'!T16</f>
        <v>-180783</v>
      </c>
      <c r="U12" s="249">
        <f>'07 Strata produktivity'!U16</f>
        <v>-182309.4</v>
      </c>
      <c r="V12" s="249">
        <f>'07 Strata produktivity'!V16</f>
        <v>-183835.8</v>
      </c>
      <c r="W12" s="249">
        <f>'07 Strata produktivity'!W16</f>
        <v>-185076</v>
      </c>
      <c r="X12" s="249">
        <f>'07 Strata produktivity'!X16</f>
        <v>-186411.6</v>
      </c>
      <c r="Y12" s="249">
        <f>'07 Strata produktivity'!Y16</f>
        <v>-187747.20000000001</v>
      </c>
      <c r="Z12" s="249">
        <f>'07 Strata produktivity'!Z16</f>
        <v>-189082.8</v>
      </c>
      <c r="AA12" s="249">
        <f>'07 Strata produktivity'!AA16</f>
        <v>-190418.4</v>
      </c>
      <c r="AB12" s="249">
        <f>'07 Strata produktivity'!AB16</f>
        <v>-191754</v>
      </c>
      <c r="AC12" s="249">
        <f>'07 Strata produktivity'!AC16</f>
        <v>-193089.59999999998</v>
      </c>
      <c r="AD12" s="249">
        <f>'07 Strata produktivity'!AD16</f>
        <v>-194425.19999999998</v>
      </c>
      <c r="AE12" s="249">
        <f>'07 Strata produktivity'!AE16</f>
        <v>-195760.8</v>
      </c>
      <c r="AF12" s="249">
        <f>'07 Strata produktivity'!AF16</f>
        <v>-197096.4</v>
      </c>
      <c r="AG12" s="249">
        <f>'07 Strata produktivity'!AG16</f>
        <v>-198909</v>
      </c>
    </row>
    <row r="13" spans="1:33" x14ac:dyDescent="0.2">
      <c r="B13" s="243" t="s">
        <v>213</v>
      </c>
      <c r="C13" s="248">
        <f>D13+NPV(Parametre!$C$10,E13:AG13)</f>
        <v>-2749325.4652348584</v>
      </c>
      <c r="D13" s="251">
        <f t="shared" ref="D13:AG13" si="1">SUM(D12:D12)</f>
        <v>-133962</v>
      </c>
      <c r="E13" s="251">
        <f t="shared" si="1"/>
        <v>-146794.80000000002</v>
      </c>
      <c r="F13" s="251">
        <f t="shared" si="1"/>
        <v>-153450</v>
      </c>
      <c r="G13" s="251">
        <f t="shared" si="1"/>
        <v>-159318</v>
      </c>
      <c r="H13" s="251">
        <f t="shared" si="1"/>
        <v>-161226</v>
      </c>
      <c r="I13" s="251">
        <f t="shared" si="1"/>
        <v>-163134</v>
      </c>
      <c r="J13" s="251">
        <f t="shared" si="1"/>
        <v>-165042</v>
      </c>
      <c r="K13" s="251">
        <f t="shared" si="1"/>
        <v>-167045.40000000002</v>
      </c>
      <c r="L13" s="251">
        <f t="shared" si="1"/>
        <v>-169048.8</v>
      </c>
      <c r="M13" s="251">
        <f t="shared" si="1"/>
        <v>-170479.80000000002</v>
      </c>
      <c r="N13" s="251">
        <f t="shared" si="1"/>
        <v>-171910.8</v>
      </c>
      <c r="O13" s="251">
        <f t="shared" si="1"/>
        <v>-173341.80000000002</v>
      </c>
      <c r="P13" s="251">
        <f t="shared" si="1"/>
        <v>-174772.8</v>
      </c>
      <c r="Q13" s="251">
        <f t="shared" si="1"/>
        <v>-176203.8</v>
      </c>
      <c r="R13" s="251">
        <f t="shared" si="1"/>
        <v>-177730.19999999998</v>
      </c>
      <c r="S13" s="251">
        <f t="shared" si="1"/>
        <v>-179256.6</v>
      </c>
      <c r="T13" s="251">
        <f t="shared" si="1"/>
        <v>-180783</v>
      </c>
      <c r="U13" s="251">
        <f t="shared" si="1"/>
        <v>-182309.4</v>
      </c>
      <c r="V13" s="251">
        <f t="shared" si="1"/>
        <v>-183835.8</v>
      </c>
      <c r="W13" s="251">
        <f t="shared" si="1"/>
        <v>-185076</v>
      </c>
      <c r="X13" s="251">
        <f t="shared" si="1"/>
        <v>-186411.6</v>
      </c>
      <c r="Y13" s="251">
        <f t="shared" si="1"/>
        <v>-187747.20000000001</v>
      </c>
      <c r="Z13" s="251">
        <f t="shared" si="1"/>
        <v>-189082.8</v>
      </c>
      <c r="AA13" s="251">
        <f t="shared" si="1"/>
        <v>-190418.4</v>
      </c>
      <c r="AB13" s="251">
        <f t="shared" si="1"/>
        <v>-191754</v>
      </c>
      <c r="AC13" s="251">
        <f t="shared" si="1"/>
        <v>-193089.59999999998</v>
      </c>
      <c r="AD13" s="251">
        <f t="shared" si="1"/>
        <v>-194425.19999999998</v>
      </c>
      <c r="AE13" s="251">
        <f t="shared" si="1"/>
        <v>-195760.8</v>
      </c>
      <c r="AF13" s="251">
        <f t="shared" si="1"/>
        <v>-197096.4</v>
      </c>
      <c r="AG13" s="251">
        <f t="shared" si="1"/>
        <v>-198909</v>
      </c>
    </row>
    <row r="14" spans="1:33" x14ac:dyDescent="0.2">
      <c r="B14" s="242" t="s">
        <v>12</v>
      </c>
      <c r="C14" s="248">
        <f>D14+NPV(Parametre!$C$10,E14:AG14)</f>
        <v>0</v>
      </c>
      <c r="D14" s="249">
        <v>0</v>
      </c>
      <c r="E14" s="249">
        <v>0</v>
      </c>
      <c r="F14" s="249">
        <v>0</v>
      </c>
      <c r="G14" s="249">
        <v>0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9">
        <v>0</v>
      </c>
      <c r="Y14" s="249">
        <v>0</v>
      </c>
      <c r="Z14" s="249">
        <v>0</v>
      </c>
      <c r="AA14" s="249">
        <v>0</v>
      </c>
      <c r="AB14" s="249">
        <v>0</v>
      </c>
      <c r="AC14" s="249">
        <v>0</v>
      </c>
      <c r="AD14" s="249">
        <v>0</v>
      </c>
      <c r="AE14" s="249">
        <v>0</v>
      </c>
      <c r="AF14" s="249">
        <v>0</v>
      </c>
      <c r="AG14" s="249">
        <f>'02 Zostatková hodnota'!I23</f>
        <v>0</v>
      </c>
    </row>
    <row r="15" spans="1:33" x14ac:dyDescent="0.2">
      <c r="B15" s="252" t="s">
        <v>33</v>
      </c>
      <c r="C15" s="253">
        <f>D15+NPV(Parametre!$C$10,E15:AG15)</f>
        <v>-48426507.227142632</v>
      </c>
      <c r="D15" s="253">
        <f t="shared" ref="D15:AG15" si="2">D13-D11</f>
        <v>-3030343.3756153849</v>
      </c>
      <c r="E15" s="253">
        <f t="shared" si="2"/>
        <v>-2972274.7876153849</v>
      </c>
      <c r="F15" s="253">
        <f t="shared" si="2"/>
        <v>-2978929.9876153851</v>
      </c>
      <c r="G15" s="253">
        <f t="shared" si="2"/>
        <v>-2984797.9876153851</v>
      </c>
      <c r="H15" s="253">
        <f t="shared" si="2"/>
        <v>-2986705.9876153851</v>
      </c>
      <c r="I15" s="253">
        <f t="shared" si="2"/>
        <v>-2988613.9876153851</v>
      </c>
      <c r="J15" s="253">
        <f t="shared" si="2"/>
        <v>-2990521.9876153851</v>
      </c>
      <c r="K15" s="253">
        <f t="shared" si="2"/>
        <v>-2992525.387615385</v>
      </c>
      <c r="L15" s="253">
        <f t="shared" si="2"/>
        <v>-2994528.7876153849</v>
      </c>
      <c r="M15" s="253">
        <f t="shared" si="2"/>
        <v>-2995959.7876153849</v>
      </c>
      <c r="N15" s="253">
        <f t="shared" si="2"/>
        <v>-2997390.7876153849</v>
      </c>
      <c r="O15" s="253">
        <f t="shared" si="2"/>
        <v>-2998821.7876153849</v>
      </c>
      <c r="P15" s="253">
        <f t="shared" si="2"/>
        <v>-3000252.7876153849</v>
      </c>
      <c r="Q15" s="253">
        <f t="shared" si="2"/>
        <v>-3001683.7876153849</v>
      </c>
      <c r="R15" s="253">
        <f t="shared" si="2"/>
        <v>-3003210.1876153853</v>
      </c>
      <c r="S15" s="253">
        <f t="shared" si="2"/>
        <v>-3004736.5876153852</v>
      </c>
      <c r="T15" s="253">
        <f t="shared" si="2"/>
        <v>-3006262.9876153851</v>
      </c>
      <c r="U15" s="253">
        <f t="shared" si="2"/>
        <v>-3007789.387615385</v>
      </c>
      <c r="V15" s="253">
        <f t="shared" si="2"/>
        <v>-3009315.7876153849</v>
      </c>
      <c r="W15" s="253">
        <f t="shared" si="2"/>
        <v>-3010555.9876153851</v>
      </c>
      <c r="X15" s="253">
        <f t="shared" si="2"/>
        <v>-3011891.5876153852</v>
      </c>
      <c r="Y15" s="253">
        <f t="shared" si="2"/>
        <v>-3013227.1876153853</v>
      </c>
      <c r="Z15" s="253">
        <f t="shared" si="2"/>
        <v>-3014562.7876153849</v>
      </c>
      <c r="AA15" s="253">
        <f t="shared" si="2"/>
        <v>-3015898.387615385</v>
      </c>
      <c r="AB15" s="253">
        <f t="shared" si="2"/>
        <v>-3017233.9876153851</v>
      </c>
      <c r="AC15" s="253">
        <f t="shared" si="2"/>
        <v>-3018569.5876153852</v>
      </c>
      <c r="AD15" s="253">
        <f t="shared" si="2"/>
        <v>-3019905.1876153853</v>
      </c>
      <c r="AE15" s="253">
        <f t="shared" si="2"/>
        <v>-3021240.7876153849</v>
      </c>
      <c r="AF15" s="253">
        <f t="shared" si="2"/>
        <v>-3022576.387615385</v>
      </c>
      <c r="AG15" s="253">
        <f t="shared" si="2"/>
        <v>-3024388.9876153851</v>
      </c>
    </row>
    <row r="16" spans="1:33" x14ac:dyDescent="0.2"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</row>
    <row r="17" spans="2:32" x14ac:dyDescent="0.2">
      <c r="B17" s="255" t="s">
        <v>237</v>
      </c>
      <c r="C17" s="256">
        <f>-C9-C10+C12+C14</f>
        <v>-48426507.227142625</v>
      </c>
      <c r="D17" s="254" t="s">
        <v>0</v>
      </c>
      <c r="E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</row>
    <row r="18" spans="2:32" x14ac:dyDescent="0.2">
      <c r="B18" s="255" t="s">
        <v>238</v>
      </c>
      <c r="C18" s="257" t="e">
        <f>IRR(D15:AG15,10)</f>
        <v>#NUM!</v>
      </c>
      <c r="D18" s="254"/>
      <c r="E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</row>
    <row r="19" spans="2:32" x14ac:dyDescent="0.2">
      <c r="B19" s="255" t="s">
        <v>239</v>
      </c>
      <c r="C19" s="258">
        <f>(C13)/C11</f>
        <v>-6.0190347985252531E-2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</row>
    <row r="24" spans="2:32" x14ac:dyDescent="0.2">
      <c r="B24" s="259" t="s">
        <v>32</v>
      </c>
      <c r="C24" s="259" t="s">
        <v>240</v>
      </c>
      <c r="D24" s="259" t="s">
        <v>211</v>
      </c>
    </row>
    <row r="25" spans="2:32" x14ac:dyDescent="0.2">
      <c r="B25" s="260" t="str">
        <f>B13</f>
        <v xml:space="preserve">Prínosy spolu </v>
      </c>
      <c r="C25" s="261">
        <f>SUM(C26:C27)</f>
        <v>-48426.507227142618</v>
      </c>
      <c r="D25" s="262">
        <f>SUM(D26:D27)</f>
        <v>1</v>
      </c>
    </row>
    <row r="26" spans="2:32" x14ac:dyDescent="0.2">
      <c r="B26" s="263" t="str">
        <f>B12</f>
        <v>Strata produktivity - chôdzou</v>
      </c>
      <c r="C26" s="264">
        <f>C12/1000</f>
        <v>-2749.3254652348583</v>
      </c>
      <c r="D26" s="265">
        <f>C26/$C$25</f>
        <v>5.6773152198221849E-2</v>
      </c>
    </row>
    <row r="27" spans="2:32" x14ac:dyDescent="0.2">
      <c r="B27" s="263" t="s">
        <v>251</v>
      </c>
      <c r="C27" s="264">
        <f>C10*-1/1000</f>
        <v>-45677.181761907763</v>
      </c>
      <c r="D27" s="265">
        <f>C27/$C$25</f>
        <v>0.94322684780177823</v>
      </c>
    </row>
  </sheetData>
  <sheetProtection algorithmName="SHA-512" hashValue="nWQ/+VkGzCM4bjPrU5Kfwj1ewXCtBM0n/DeBR2Cq0rG+yioXk6nqFtFOgl63Owz8xy+FuzIZQcN8kZ8kI/ODUw==" saltValue="Hv0h+TFFS3+rWLaAS/BfSA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06 Finančná analýza</vt:lpstr>
      <vt:lpstr>07 Strata produktivity</vt:lpstr>
      <vt:lpstr>08 Ekonomická analýza</vt:lpstr>
      <vt:lpstr>CPI</vt:lpstr>
      <vt:lpstr>Časy chôdze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Obycký Ján</dc:creator>
  <cp:lastModifiedBy>Obycký Ján</cp:lastModifiedBy>
  <cp:lastPrinted>2011-06-09T11:45:53Z</cp:lastPrinted>
  <dcterms:created xsi:type="dcterms:W3CDTF">2011-05-19T08:19:19Z</dcterms:created>
  <dcterms:modified xsi:type="dcterms:W3CDTF">2022-06-28T12:25:48Z</dcterms:modified>
</cp:coreProperties>
</file>